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6275" windowHeight="8730" firstSheet="5" activeTab="8"/>
  </bookViews>
  <sheets>
    <sheet name="1m_bevetelek" sheetId="1" r:id="rId1"/>
    <sheet name="2m_kiadasok" sheetId="2" r:id="rId2"/>
    <sheet name="3m_felhalmozasi_adatok" sheetId="3" r:id="rId3"/>
    <sheet name="4m_PH" sheetId="4" r:id="rId4"/>
    <sheet name="5m_ktgv_i_mérleg" sheetId="5" r:id="rId5"/>
    <sheet name="6m_teljesitesi_adatok" sheetId="6" r:id="rId6"/>
    <sheet name="7m_%teljesitesi_adatok" sheetId="7" r:id="rId7"/>
    <sheet name="8m_tamogatasok" sheetId="8" r:id="rId8"/>
    <sheet name="9m_CKO" sheetId="9" r:id="rId9"/>
    <sheet name="modositott_ei" sheetId="10" state="hidden" r:id="rId10"/>
    <sheet name="beruhazas_modositott_ei" sheetId="11" state="hidden" r:id="rId11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enczi">'[2]rszakfössz'!$D$123</definedName>
    <definedName name="_xlnm.Print_Titles" localSheetId="4">'5m_ktgv_i_mérleg'!$3:$6</definedName>
    <definedName name="_xlnm.Print_Area" localSheetId="0">'1m_bevetelek'!$A$1:$V$63</definedName>
    <definedName name="_xlnm.Print_Area" localSheetId="1">'2m_kiadasok'!$A$1:$W$25</definedName>
    <definedName name="_xlnm.Print_Area" localSheetId="2">'3m_felhalmozasi_adatok'!$A$1:$G$62</definedName>
    <definedName name="_xlnm.Print_Area" localSheetId="3">'4m_PH'!$A$1:$K$57</definedName>
    <definedName name="_xlnm.Print_Area" localSheetId="4">'5m_ktgv_i_mérleg'!$A$1:$N$34</definedName>
    <definedName name="_xlnm.Print_Area" localSheetId="5">'6m_teljesitesi_adatok'!$A$1:$BG$89</definedName>
    <definedName name="_xlnm.Print_Area" localSheetId="6">'7m_%teljesitesi_adatok'!$A$1:$BG$89</definedName>
    <definedName name="_xlnm.Print_Area" localSheetId="10">'beruhazas_modositott_ei'!$A$1:$B$56</definedName>
    <definedName name="_xlnm.Print_Area" localSheetId="9">'modositott_ei'!$A$1:$BH$92</definedName>
  </definedNames>
  <calcPr fullCalcOnLoad="1"/>
</workbook>
</file>

<file path=xl/comments10.xml><?xml version="1.0" encoding="utf-8"?>
<comments xmlns="http://schemas.openxmlformats.org/spreadsheetml/2006/main">
  <authors>
    <author>jegyzono</author>
  </authors>
  <commentList>
    <comment ref="M75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!461 e Ft pénzmaradvány feladás
</t>
        </r>
      </text>
    </comment>
    <comment ref="Q75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+5 e Ft pénzmaradvány feladás
</t>
        </r>
      </text>
    </comment>
    <comment ref="AM75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+73 e Ft pénzmaradvány feladás
</t>
        </r>
      </text>
    </comment>
    <comment ref="V75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+5 e Ft pénzmaradvány feladás
</t>
        </r>
      </text>
    </comment>
    <comment ref="F75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+374 e Ft pénzmaradvány feladás</t>
        </r>
      </text>
    </comment>
    <comment ref="T6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+ 100003 e Ft pénzmaradványból
- 1004 e Ft 2 db tűzcsap létesítésre
-200 e Ft WinMenza élelmezésvezetői program
+776 e Ft Szemere Huba vis maior önerőből visszahelyezés
- 800 e Ft Kölcsey partfal építés önerő pótlás
- 6030 e Ft rendezvényház építés kiegészítő fedezetéhez
-1528 e Ft rendezvényház építés I. Ütem I rész ÁFA különbözetre
-198 e Ft HSZG üllői elszámolásra (2010)
- 314 e Ft Kenyeres-kerti Krónikás kiadási költségeire
-500 e Ft hulladékkezelési közbeszerzési szakértői díjra
-750 e Ft adóvégrehajtás költésgeire
-618 e Ft portálfejlesztésre
-1590 e Ft munkahelyi étkeztetés személyi juttatás és járulékai többlet ei igénye
- 508 e Ft szoc étk kihordás tiszteletdíjai és járulékai
-135 e Ft Jókai 8. kártérítési igényt követő visszautalás</t>
        </r>
      </text>
    </comment>
    <comment ref="M61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+84 e Ft pénzmaradványból üllői szoc. Gond 12. havi szla
+198 e Ft HSZG elszámolás (2010.)
+250 e Ft Magfalvai majálisra a falunapi előirányzatból átcsoportosítva
</t>
        </r>
      </text>
    </comment>
    <comment ref="AM60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+ 73 e Ft pénzmaradványból
</t>
        </r>
      </text>
    </comment>
    <comment ref="M58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+ 377 e Ft pénzmaradványból
-225 e Ft rendezvényház konyha eszközbeszerzésre átcsoportosítás
+ 27504 e Ft fordított ÁFA befizetés (technikai könyvelése)
+150 e Ft falunapi előirányzatból rendezvényház átadásra átcsoportosíta
+618 e Ft portálfejlesztés
+350 e Ft továbbszámlázott szolgáltatási díj (EBH szlák, és dolgozói internet többlet számlázása)
+ 135 e Ft Jókai 8. kártérítési igényt követő visszautalás
</t>
        </r>
      </text>
    </comment>
    <comment ref="Q58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+ 5 e Ft pénzmaradványból
</t>
        </r>
      </text>
    </comment>
    <comment ref="V58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+ 5 e Ft pénzmaradványból
</t>
        </r>
      </text>
    </comment>
    <comment ref="F58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+ 374 e Ft pénzmaradványból
+ 926 e Ft rendezvényház konyha eszközbeszerzés ált. tartalékból és átcsoportosítással
+500 e Ft eli áthelyezés a beruházásról eszközbeszerzésre
</t>
        </r>
      </text>
    </comment>
    <comment ref="T75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+ 10003 e Ft pénzmaradvány feladás</t>
        </r>
      </text>
    </comment>
    <comment ref="R25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+500 e Ft bérkompenzáció
+ 3497 e Ft Szemere u. vis maior
+123 e Ft könyvtári érdekeltségnövelő tám.</t>
        </r>
      </text>
    </comment>
    <comment ref="F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+ 47 e Ft bérkompenzáció
+1351 e Ft konyhai létszám többlet ei. igénye</t>
        </r>
      </text>
    </comment>
    <comment ref="F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+13 e Ft bérkompenzáció járuléka
+239 e Ft konyhai létszám többlet járulék ei. Igénye
</t>
        </r>
      </text>
    </comment>
    <comment ref="M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+124 e Ft bérkompenzáció
</t>
        </r>
      </text>
    </comment>
    <comment ref="M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+13 e Ft bérkompenzáció járuléka
</t>
        </r>
      </text>
    </comment>
    <comment ref="V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+ 20 e Ft bérkompenzáció
</t>
        </r>
      </text>
    </comment>
    <comment ref="V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+ 5 e Ft bérkompenzáció járuléka
</t>
        </r>
      </text>
    </comment>
    <comment ref="AV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+ 19 e Ft bérkompenzáció járuléka
</t>
        </r>
      </text>
    </comment>
    <comment ref="AV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+ 5 e Ft bérkompenzáció járuléka
</t>
        </r>
      </text>
    </comment>
    <comment ref="AO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+12 e Ft bérkompenzáció
</t>
        </r>
      </text>
    </comment>
    <comment ref="AO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+ 3 e Ft bérkompenzáció járuléka
</t>
        </r>
      </text>
    </comment>
    <comment ref="N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+27 e Ft bérkompenzáció
</t>
        </r>
      </text>
    </comment>
    <comment ref="N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+7 e Ft bérkompenzáció járuléka
</t>
        </r>
      </text>
    </comment>
    <comment ref="Q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+ 20 e Ft bérkompenzáció
-780 e Ft előirányzaton belüli szakfeladat korrekció 890403-ra
</t>
        </r>
      </text>
    </comment>
    <comment ref="Q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+4 e Ft bérkompenzáció járuléka
-210 e Ft előirányzaton belüli szakfeladat korrekció 890403-ra</t>
        </r>
      </text>
    </comment>
    <comment ref="BA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+ 127 e Ft blóérkompenzáció</t>
        </r>
      </text>
    </comment>
    <comment ref="BA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+ 34 e Ft bérkompenzáció járuléka
</t>
        </r>
      </text>
    </comment>
    <comment ref="M64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+ 3497 e Ft Szemere u. vismaior felújítás 
-776 e Ft Szemere vismaior önerőből visszahelyezés általános tartalékra
-2464 e Ft előirányzaton belüli szakfeladat korrekció 841403-ra
</t>
        </r>
      </text>
    </comment>
    <comment ref="M63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+ 1004 e Ft 2 db tűzcsap létesítés
+5329 e Ft rendezvényház építés kiegészítő finanszírozás ált. tartalékból és ei. Átcsoportosításból
+ 800 e Ft Kölcsey partfalépítés önerő pótlás (forrása döntően a Szemere vis maior maradvány 776 e Ft-ja a felújítási ei-ről)
-900 e Ft előirányzaton belüli szakfeladat korrekció 841402-re
</t>
        </r>
      </text>
    </comment>
    <comment ref="F63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-500 e Ft áthelyezése beruházásról eszközbeszerzésre a dologi ei-re
+ 200 e Ft WinMenza élelmezésvezetői program</t>
        </r>
      </text>
    </comment>
    <comment ref="M11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+208 e Ft konyha eszközbeszerzés visszaigényelhető ÁFA
</t>
        </r>
      </text>
    </comment>
    <comment ref="M41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+19881 rendezvényház építés visszaigényelhető ÁFA technikai könyvelése
+ 4987 e Ft rendezvényház visszaigényelhető ÁFA
(I. rész I. ütem)
</t>
        </r>
      </text>
    </comment>
    <comment ref="M12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+900 e Ft lekötött betét kamatai
</t>
        </r>
      </text>
    </comment>
    <comment ref="AV58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- 400 e Ft falunapi előirányzat átrendezés
</t>
        </r>
      </text>
    </comment>
    <comment ref="G58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+314 e Ft Kenyeres-kerti Krónikás kiadási költségei
</t>
        </r>
      </text>
    </comment>
    <comment ref="C58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+ 500 e Ft hulladékkezelés közbeszerzésre
</t>
        </r>
      </text>
    </comment>
    <comment ref="N58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+750 e Ft adóvégrehajtás előlegére
</t>
        </r>
      </text>
    </comment>
    <comment ref="AN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+400 e Ft szociális étk. Kihordás tiszteledíja
</t>
        </r>
      </text>
    </comment>
    <comment ref="AN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+ 108 e Ft szociális étk. Kihordás tiszteletdíj járulék fedezete
</t>
        </r>
      </text>
    </comment>
    <comment ref="M8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-1 e kerekítés
</t>
        </r>
      </text>
    </comment>
    <comment ref="K61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+600 téves rögzítés korrekciója a 841116-ról</t>
        </r>
      </text>
    </comment>
    <comment ref="L61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-600 e Ft átrakni korrekció miatt a helyes szakfeladatra 841112
</t>
        </r>
      </text>
    </comment>
    <comment ref="P63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-900 e Ft előirányzaton belüli szakfeladat korrekció 841126ról</t>
        </r>
      </text>
    </comment>
    <comment ref="Q64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-2464 e Ft előirányzaton belüli szakfeladat korrekció 841126-ról</t>
        </r>
      </text>
    </comment>
    <comment ref="C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-470 e Ft előirányzaton belüli szakfeladat korrekció 890443-re</t>
        </r>
      </text>
    </comment>
    <comment ref="C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-127 e Ft előirányzaton belüli szakfeladat korrekció 890443-ra
</t>
        </r>
      </text>
    </comment>
    <comment ref="AT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+780 e Ft előirányzaton belüli szakfeladat korrekció 841403-ról
+470 e Ft előirányzaton belüli szakfeladat korrekció 382101-ről</t>
        </r>
      </text>
    </comment>
    <comment ref="AT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+210 e Ft előirányzaton belüli szakfeladat korrekció 841403-ról
+127 e Ft előirányzaton belüli szakfeladat korrekció 382101-ről</t>
        </r>
      </text>
    </comment>
    <comment ref="AR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+2730 e Ft előirányzaton belüli szakfeladat korrekció 841442-ről
</t>
        </r>
      </text>
    </comment>
    <comment ref="AR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+710 e Ft előirányzaton belüli szakfeladat korrekció 841442-ről</t>
        </r>
      </text>
    </comment>
    <comment ref="AS5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+710 e Ft előirányzaton belüli szakfeladat korrekció 841441-re</t>
        </r>
      </text>
    </comment>
    <comment ref="AS56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+2730 e Ft előirányzaton belüli szakfeladat korrekció 841441-re</t>
        </r>
      </text>
    </comment>
    <comment ref="AU58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+123 e Ft könyvtári érdekeltség növelő tám.</t>
        </r>
      </text>
    </comment>
    <comment ref="M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+350 e Ft továbbszámlázott szolg. Nettó értéke</t>
        </r>
      </text>
    </comment>
  </commentList>
</comments>
</file>

<file path=xl/comments4.xml><?xml version="1.0" encoding="utf-8"?>
<comments xmlns="http://schemas.openxmlformats.org/spreadsheetml/2006/main">
  <authors>
    <author>jegyzono</author>
  </authors>
  <commentList>
    <comment ref="C54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1 e Ft kerekítési különbözettel
</t>
        </r>
      </text>
    </comment>
  </commentList>
</comments>
</file>

<file path=xl/comments5.xml><?xml version="1.0" encoding="utf-8"?>
<comments xmlns="http://schemas.openxmlformats.org/spreadsheetml/2006/main">
  <authors>
    <author>jegyzono</author>
  </authors>
  <commentList>
    <comment ref="E10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-3497 e Ft (Szemere Huba vis maior támogatás levonva a működési bevételekből, és átvezetve a felhalmozási bevételek közé a felhalmozási célú támogatás érték bevételek soron (vis maior)-ként</t>
        </r>
      </text>
    </comment>
    <comment ref="K12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a -27504 e Ft a beruházáshoz kapcsolódó fordított ÁFA technikai könyvelésének következménye</t>
        </r>
      </text>
    </comment>
    <comment ref="K2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a +27504 e Ft a beruházáshoz kapcsolódó fordított ÁFA technikai könyvelésének következménye</t>
        </r>
      </text>
    </comment>
    <comment ref="F10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-3497 e Ft (Szemere Huba vis maior támogatás levonva a működési bevételekből, és átvezetve a felhalmozási bevételek közé a felhalmozási célú támogatás érték bevételek soron (vis maior)-ként</t>
        </r>
      </text>
    </comment>
    <comment ref="G10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-3497 e Ft (Szemere Huba vis maior támogatás levonva a működési bevételekből, és átvezetve a felhalmozási bevételek közé a felhalmozási célú támogatás érték bevételek soron (vis maior)-ként</t>
        </r>
      </text>
    </comment>
    <comment ref="H10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-3497 e Ft (Szemere Huba vis maior támogatás levonva a működési bevételekből, és átvezetve a felhalmozási bevételek közé a felhalmozási célú támogatás érték bevételek soron (vis maior)-ként</t>
        </r>
      </text>
    </comment>
    <comment ref="L12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a -27504 e Ft a beruházáshoz kapcsolódó fordított ÁFA technikai könyvelésének következménye</t>
        </r>
      </text>
    </comment>
    <comment ref="M12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a -27504 e Ft a beruházáshoz kapcsolódó fordított ÁFA technikai könyvelésének következménye</t>
        </r>
      </text>
    </comment>
    <comment ref="N12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a -27504 e Ft a beruházáshoz kapcsolódó fordított ÁFA technikai könyvelésének következménye</t>
        </r>
      </text>
    </comment>
    <comment ref="L2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a +27504 e Ft a beruházáshoz kapcsolódó fordított ÁFA technikai könyvelésének következménye</t>
        </r>
      </text>
    </comment>
    <comment ref="M2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a +27504 e Ft a beruházáshoz kapcsolódó fordított ÁFA technikai könyvelésének következménye</t>
        </r>
      </text>
    </comment>
    <comment ref="N27" authorId="0">
      <text>
        <r>
          <rPr>
            <b/>
            <sz val="9"/>
            <rFont val="Tahoma"/>
            <family val="0"/>
          </rPr>
          <t>jegyzono:</t>
        </r>
        <r>
          <rPr>
            <sz val="9"/>
            <rFont val="Tahoma"/>
            <family val="0"/>
          </rPr>
          <t xml:space="preserve">
a +27504 e Ft a beruházáshoz kapcsolódó fordított ÁFA technikai könyvelésének következménye</t>
        </r>
      </text>
    </comment>
  </commentList>
</comments>
</file>

<file path=xl/sharedStrings.xml><?xml version="1.0" encoding="utf-8"?>
<sst xmlns="http://schemas.openxmlformats.org/spreadsheetml/2006/main" count="1028" uniqueCount="485">
  <si>
    <t>Kiemelt előirányzatok kiadásai mindösszesen</t>
  </si>
  <si>
    <t>Felhalmozási célú hitel visszafizetés</t>
  </si>
  <si>
    <t>Felhalmozási kiadások</t>
  </si>
  <si>
    <t xml:space="preserve">     ebből kamat kiadás</t>
  </si>
  <si>
    <t>Működési kiadások</t>
  </si>
  <si>
    <t>Cigány Kisebbségi Önkormányzat</t>
  </si>
  <si>
    <t>SNI nevelés ellátás</t>
  </si>
  <si>
    <t>Óvodai nevelés ellátás</t>
  </si>
  <si>
    <t>Óvodai nevelés intézményeinek, programjainak komplex támogatása</t>
  </si>
  <si>
    <t>óvodai intézményi étkeztetés</t>
  </si>
  <si>
    <t>köztemető fenntartás és működtetés</t>
  </si>
  <si>
    <t>közösségi színterek működtetése</t>
  </si>
  <si>
    <t>könyvtári szolgáltatások</t>
  </si>
  <si>
    <t>civil szervezetek működése támogatása</t>
  </si>
  <si>
    <t>egyéb speciális ellátások (születési támogatás)</t>
  </si>
  <si>
    <t>tanyagondnoki szolgálat</t>
  </si>
  <si>
    <t>szociális étkeztetés</t>
  </si>
  <si>
    <t>köztemetés</t>
  </si>
  <si>
    <t>közgyógy-ellátás</t>
  </si>
  <si>
    <t>egyéb eseti pénzbeli ellátások</t>
  </si>
  <si>
    <t>mozgás- korlátozottak közlekedési támogatása</t>
  </si>
  <si>
    <t>rendkívüli gyermekvédelmi támogatás</t>
  </si>
  <si>
    <t>temetési segély</t>
  </si>
  <si>
    <t>átmeneti segély</t>
  </si>
  <si>
    <t>helyi eseti lakásfenntartási támogatás</t>
  </si>
  <si>
    <t>óvodáztatási támogatás</t>
  </si>
  <si>
    <t>kiegészítő gyermekvédelmi támogatás</t>
  </si>
  <si>
    <t>rendszeres gyermekvédelmi pénzbeli ellátás</t>
  </si>
  <si>
    <t>Ápolási díj méltányossági jogon</t>
  </si>
  <si>
    <t>Ápolási díj alanyi jogon</t>
  </si>
  <si>
    <t>helyi lakásfenntartási támogatás</t>
  </si>
  <si>
    <t>normatív lakásfenntartási támogatás</t>
  </si>
  <si>
    <t>időskorúak járadéka</t>
  </si>
  <si>
    <t>rendszeres szociális segély</t>
  </si>
  <si>
    <t>Család és nővédelmi gondozás</t>
  </si>
  <si>
    <t>szociális ösztöndíjak</t>
  </si>
  <si>
    <t>fejezeti és általános tartalékok elszámolása</t>
  </si>
  <si>
    <t>finanszírozási műveletek</t>
  </si>
  <si>
    <t>önkormány-zatok elszámolásai</t>
  </si>
  <si>
    <t>község- gazdálkodás</t>
  </si>
  <si>
    <t>közvilágítás</t>
  </si>
  <si>
    <t>nemzeti ünnepek programjai</t>
  </si>
  <si>
    <t>adóügyi igazgatás</t>
  </si>
  <si>
    <t>önk. Igazgatási tevékenység</t>
  </si>
  <si>
    <t>kisebbségi önkormányzati választás</t>
  </si>
  <si>
    <t>önkormányzati jogalkotás</t>
  </si>
  <si>
    <t>Állat-egészségügyi ellátás</t>
  </si>
  <si>
    <t>Nem lakóingatlan bérbeadása, üzemeltetése</t>
  </si>
  <si>
    <t>lakóingatlan bérbeadása, üzemeltetése</t>
  </si>
  <si>
    <t>munkahelyi étkeztetés</t>
  </si>
  <si>
    <t>útfenntartás</t>
  </si>
  <si>
    <t>útépítés</t>
  </si>
  <si>
    <t>települési hulladékok kezelése</t>
  </si>
  <si>
    <t>ÖNKOR-MÁNYZAT KIADÁSAI MINDÖSZ-SZESEN</t>
  </si>
  <si>
    <t>CKÖ kiadásai</t>
  </si>
  <si>
    <t>Gólyafészek Óvoda kiadásai mindösszesen</t>
  </si>
  <si>
    <t xml:space="preserve"> Óvoda gazdálkodásához kapcsolódó kiadások</t>
  </si>
  <si>
    <t>Polgármesteri Hivatal kiadásai mindösszesen</t>
  </si>
  <si>
    <t>A Polgármesteri Hivatal szakfeladatain történő gazdálkodásához kapcsolódó kiadások</t>
  </si>
  <si>
    <t>Megnevezés</t>
  </si>
  <si>
    <t>Kiemelt előirányzatok bevételei mindösszesen</t>
  </si>
  <si>
    <t>Felhalmozási célú pénzmaradvány</t>
  </si>
  <si>
    <t>Működési célú pénzmaradvány</t>
  </si>
  <si>
    <t>Vállalkozási bevétel</t>
  </si>
  <si>
    <t>Felhalmozási célú kölcsönök megtérülése</t>
  </si>
  <si>
    <t>Fejlesztési célú hitel 2010. évről áthúzódó</t>
  </si>
  <si>
    <t>Fejlesztési célú hitelfelvétel</t>
  </si>
  <si>
    <t xml:space="preserve">Működési célú hitelfelvétel </t>
  </si>
  <si>
    <t>Előző évi maradvány átvétele központi költségvetésből</t>
  </si>
  <si>
    <t>Államháztartáson kívülről felhalmozási célra átvett pénzeszköz</t>
  </si>
  <si>
    <t>Államháztartásonkívülről működési célra átvett pénzeszköz</t>
  </si>
  <si>
    <t>Működési célú támogatás értékű bevételek</t>
  </si>
  <si>
    <t>Központi költségvetésből kapott költségvetési támogatás</t>
  </si>
  <si>
    <t>Tárgyi eszközök és immat.javak értékesítése</t>
  </si>
  <si>
    <t>Intézményi működési bevételek</t>
  </si>
  <si>
    <t>közgyógy ellátás</t>
  </si>
  <si>
    <t>Gomba Község Önkormányzata 2011. évi bevételi előirányzatai kiemelt előirányzatonként szakfeladatok szerinti bontásban</t>
  </si>
  <si>
    <t>Működési bevételek</t>
  </si>
  <si>
    <t>Önkormányzatok sajátos működési bevételei</t>
  </si>
  <si>
    <t>Felhalmozási bevételek</t>
  </si>
  <si>
    <t>Fejlesztési kiadásokhoz kapcsolódó ÁFA bevételek</t>
  </si>
  <si>
    <t>Kölcsönök bevételei</t>
  </si>
  <si>
    <t>Költségvetési hiány összege</t>
  </si>
  <si>
    <t>Költségvetési hiány belső finanszírozása</t>
  </si>
  <si>
    <t>Előző évi pénzmaradvány igénybevétele</t>
  </si>
  <si>
    <t>Költségvetési hiány külső finanszírozása</t>
  </si>
  <si>
    <t>Bevételek összesen a finanszírozási célú műveletek és előző évek pénzmaradványának figyelembe vételével</t>
  </si>
  <si>
    <t>Szabad pénzeszközök betétként történő elhelyezése</t>
  </si>
  <si>
    <t>Kiadások összesen a finanszírozási célú műveletek figyelembe vételével</t>
  </si>
  <si>
    <t xml:space="preserve">Engedélyezett létszám </t>
  </si>
  <si>
    <t xml:space="preserve">ebből közfog: </t>
  </si>
  <si>
    <t>Fitusné</t>
  </si>
  <si>
    <t>Lehota</t>
  </si>
  <si>
    <t>Kósa</t>
  </si>
  <si>
    <t>Rádiné</t>
  </si>
  <si>
    <t>Fenyvesi</t>
  </si>
  <si>
    <t>Surmanné</t>
  </si>
  <si>
    <t>Kiss</t>
  </si>
  <si>
    <t>Varga 0,2</t>
  </si>
  <si>
    <t>Máténé</t>
  </si>
  <si>
    <t>dr.Zimonyiné</t>
  </si>
  <si>
    <t>Lehotáné</t>
  </si>
  <si>
    <t>ktgv-i szervek</t>
  </si>
  <si>
    <t>Tóthné</t>
  </si>
  <si>
    <t>Bán</t>
  </si>
  <si>
    <t>Szibele</t>
  </si>
  <si>
    <t>Szabóné 0,75</t>
  </si>
  <si>
    <t>Furuczné</t>
  </si>
  <si>
    <t>Tótné</t>
  </si>
  <si>
    <t>létszáma</t>
  </si>
  <si>
    <t>Trepkáné</t>
  </si>
  <si>
    <t>Czeglédi</t>
  </si>
  <si>
    <t>Bakó</t>
  </si>
  <si>
    <t>Szalma</t>
  </si>
  <si>
    <t>Molnár</t>
  </si>
  <si>
    <t>Borbásné</t>
  </si>
  <si>
    <t>Varga 0,5</t>
  </si>
  <si>
    <t>dr. Molnárné</t>
  </si>
  <si>
    <t>Brecsokné</t>
  </si>
  <si>
    <t>Molnárné 0,5</t>
  </si>
  <si>
    <t>Ordasiné</t>
  </si>
  <si>
    <t>Kampfl</t>
  </si>
  <si>
    <t>Őzéné</t>
  </si>
  <si>
    <t>Koczó</t>
  </si>
  <si>
    <t>Oraveczné</t>
  </si>
  <si>
    <t>Mátyásné</t>
  </si>
  <si>
    <t>Pete 0,75</t>
  </si>
  <si>
    <t>Szóráth</t>
  </si>
  <si>
    <t>Viczán</t>
  </si>
  <si>
    <t>Tolvai</t>
  </si>
  <si>
    <t>Tatárné</t>
  </si>
  <si>
    <t>Czemmelné</t>
  </si>
  <si>
    <t>Gyenesné</t>
  </si>
  <si>
    <t>Hauszknech</t>
  </si>
  <si>
    <t>Répás</t>
  </si>
  <si>
    <t>Telekiné</t>
  </si>
  <si>
    <t>Opovszki</t>
  </si>
  <si>
    <t>Nagyné 0,75</t>
  </si>
  <si>
    <r>
      <t xml:space="preserve">Polgármesteri Hivatal bevételei mindösszesen    </t>
    </r>
    <r>
      <rPr>
        <b/>
        <i/>
        <sz val="8"/>
        <color indexed="62"/>
        <rFont val="Arial CE"/>
        <family val="0"/>
      </rPr>
      <t>(költségvetési cím)</t>
    </r>
  </si>
  <si>
    <r>
      <t xml:space="preserve">Gólyafészek Óvoda bevételei mindösszesen </t>
    </r>
    <r>
      <rPr>
        <b/>
        <i/>
        <sz val="8"/>
        <color indexed="62"/>
        <rFont val="Arial CE"/>
        <family val="0"/>
      </rPr>
      <t>(költségvetési cím)</t>
    </r>
  </si>
  <si>
    <r>
      <t xml:space="preserve"> Óvoda gazdálkodásához kapcsolódó bevételek  </t>
    </r>
    <r>
      <rPr>
        <sz val="8"/>
        <color indexed="18"/>
        <rFont val="Arial CE"/>
        <family val="0"/>
      </rPr>
      <t xml:space="preserve">                  (költségvetési alcímek szerint)</t>
    </r>
  </si>
  <si>
    <r>
      <t xml:space="preserve">A Polgármesteri Hivatal szakfeladatain történő gazdálkodásához kapcsolódó bevételek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color indexed="18"/>
        <rFont val="Arial CE"/>
        <family val="0"/>
      </rPr>
      <t>(költségvetési alcímek szerint)</t>
    </r>
  </si>
  <si>
    <r>
      <t xml:space="preserve">A Polgármesteri Hivatal szakfeladatain </t>
    </r>
    <r>
      <rPr>
        <b/>
        <sz val="10"/>
        <color indexed="62"/>
        <rFont val="Arial CE"/>
        <family val="0"/>
      </rPr>
      <t xml:space="preserve">(költségvetési alcímek szerint) </t>
    </r>
    <r>
      <rPr>
        <b/>
        <sz val="10"/>
        <rFont val="Arial CE"/>
        <family val="2"/>
      </rPr>
      <t>történő gazdálkodásához kapcsolódó bevételek</t>
    </r>
  </si>
  <si>
    <t>2011. évi költségvetési rendelet</t>
  </si>
  <si>
    <t>Finanszírozási célú műveletek kiadási főösszeget módosító összegei</t>
  </si>
  <si>
    <t>Finanszírozási célú műveletek bevételi főösszeget módosító összegei</t>
  </si>
  <si>
    <t>1.Helyi adók</t>
  </si>
  <si>
    <t>2.Adópótlékok, -bírságok</t>
  </si>
  <si>
    <t>3.Gépjárműadó</t>
  </si>
  <si>
    <t>4.Önkormányzatot megillető, településre kimutatott szja 8%-a</t>
  </si>
  <si>
    <t>5.Települési önk. jövedelemdifferenciálódásásnak mérséklése</t>
  </si>
  <si>
    <t>6.Egyéb bírságok (helyszíni és szabálysértési bírság)</t>
  </si>
  <si>
    <t>7.Talajterhelési díj</t>
  </si>
  <si>
    <t xml:space="preserve">8.Egyéb sajátos folyó bevételek  </t>
  </si>
  <si>
    <t xml:space="preserve">2.Egyes szociális feladatok kiegészítő támogatása </t>
  </si>
  <si>
    <t>3.Eredetiként nem tervezhető központosított előirányzatok</t>
  </si>
  <si>
    <t>1.TÁMOP pályázat</t>
  </si>
  <si>
    <t>2.Kisebbségi önkormányzatok támogatása</t>
  </si>
  <si>
    <t xml:space="preserve">3.Egyéb működési célú támogatás értékű bevételek </t>
  </si>
  <si>
    <t>4.Egészségbiztosítási Alap támogatása</t>
  </si>
  <si>
    <t>1.Államháztartáson kívülről működési célra átvett pénzeszközök</t>
  </si>
  <si>
    <t>1.Központi támogatás elszámolás</t>
  </si>
  <si>
    <t>1.Vállalkozási tevékenység során befolyó működési célú bevétel</t>
  </si>
  <si>
    <t>1.Földterület, ingatlan, gép-berendezés értékesítés</t>
  </si>
  <si>
    <t>1.Felhalmozási kiadáshoz kapcsolódó ÁFA bevételek</t>
  </si>
  <si>
    <t>1.LTP, úthozzájárulás</t>
  </si>
  <si>
    <t>2.Lakosságtól, vállalkozástól felhalmozási célra átvett pénzeszköz</t>
  </si>
  <si>
    <t>1.Lakossági kölcsönök megtérülése</t>
  </si>
  <si>
    <t xml:space="preserve">1.Áru-és készletértékesítés, nyújtott szolgáltatás </t>
  </si>
  <si>
    <t xml:space="preserve">2.Bérleti és lízingdíjbevétel    </t>
  </si>
  <si>
    <t>3.Hulladékkezelési díj</t>
  </si>
  <si>
    <t>4.Intézményi térítési díjak, alkalmazottak térítése</t>
  </si>
  <si>
    <t>5.Áfa bevételek és visszatérülések</t>
  </si>
  <si>
    <t>6.Kamatbevételek</t>
  </si>
  <si>
    <t>1.Személyi juttatások</t>
  </si>
  <si>
    <t>2.Munkaadót terhelő járulékok</t>
  </si>
  <si>
    <t>3.Dologi kiadások</t>
  </si>
  <si>
    <t>4.Társadalom és szociálpolitikai kiadások</t>
  </si>
  <si>
    <t>5.Egyéb működési célú kiadások (pénzeszköz átadások)</t>
  </si>
  <si>
    <t>1.Beruházások</t>
  </si>
  <si>
    <t>2.Felújítások</t>
  </si>
  <si>
    <t>3.Egyéb felhalmozási célú kiadások (pénzeszköz átadások)</t>
  </si>
  <si>
    <r>
      <t>1.</t>
    </r>
    <r>
      <rPr>
        <sz val="10"/>
        <color indexed="8"/>
        <rFont val="Arial"/>
        <family val="2"/>
      </rPr>
      <t xml:space="preserve">Normatív állami hozzájárulás </t>
    </r>
    <r>
      <rPr>
        <b/>
        <i/>
        <sz val="7"/>
        <color indexed="8"/>
        <rFont val="Arial"/>
        <family val="2"/>
      </rPr>
      <t>(lakosságszámhoz, feladatmutatóhoz kötött)</t>
    </r>
  </si>
  <si>
    <t>1.Általános tartalék</t>
  </si>
  <si>
    <t>2.Céltartalék</t>
  </si>
  <si>
    <t xml:space="preserve"> </t>
  </si>
  <si>
    <t>(adatok e Ft-ban)</t>
  </si>
  <si>
    <t xml:space="preserve">Felújítási kiadások  </t>
  </si>
  <si>
    <t>Eredeti előirányzat</t>
  </si>
  <si>
    <t>Felújítási kiadások előirányzat összesen:</t>
  </si>
  <si>
    <t xml:space="preserve">Beruházási kiadások  </t>
  </si>
  <si>
    <t>Beruházási kiadások előirányzata összesen</t>
  </si>
  <si>
    <t>Felhalmozási célú pénzeszköz átadások</t>
  </si>
  <si>
    <t>Felhalmozási célú pénzeszköz átadások  előirányzata összesen</t>
  </si>
  <si>
    <t>Felhalmozási kiadások mindösszesen:</t>
  </si>
  <si>
    <t xml:space="preserve">Gomba Község Önkormányzatának a felhalmozási előirányzatok célonkénti és  feladatonkénti részletezése </t>
  </si>
  <si>
    <t>Működési célú hitel visszafizetés</t>
  </si>
  <si>
    <t>Pénzforgalom nélküli kiadások /tartalékok/</t>
  </si>
  <si>
    <t>Települési önkor-mányzat bevételei összesen</t>
  </si>
  <si>
    <t>CKÖ bevételei</t>
  </si>
  <si>
    <t>Cigány Kisebbségi Önkor-mányzat bevételei összesen</t>
  </si>
  <si>
    <t>Önkor- mányzat bevételei mind- összesen</t>
  </si>
  <si>
    <t>5.sz. melléklete</t>
  </si>
  <si>
    <t>Települési önkor-mányzat kiadásai összesen</t>
  </si>
  <si>
    <t>Cigány Kisebbségi Önkor-mányzat kiadásai összesen</t>
  </si>
  <si>
    <t>WinMenza (élelmezésvezetői) program</t>
  </si>
  <si>
    <t xml:space="preserve">2 db tűzcsap létesítés </t>
  </si>
  <si>
    <t>Rendezvényház építés jóváhagyott többletköltsége</t>
  </si>
  <si>
    <t>rövid időtartamú közfoglalkoz- tatás</t>
  </si>
  <si>
    <t>BPJ-re jog-ak hosszab időt-ú közfogl-a</t>
  </si>
  <si>
    <t>Egyéb közfoglal-koztatás</t>
  </si>
  <si>
    <t>Jónásné</t>
  </si>
  <si>
    <t xml:space="preserve">1.Pályázati támogatások </t>
  </si>
  <si>
    <t>Felhalmozási  célú támogatás értékű bevételek (vis maior)</t>
  </si>
  <si>
    <t>Központi költségvet. kapott  támogatás(vis-maior)</t>
  </si>
  <si>
    <t>Polgármesteri Hivatal bevételeinek módosított előirányzata összesen</t>
  </si>
  <si>
    <t>Polgármesteri Hivatal  módosított bevételi előirányzatinak I. féléves teljesítése összesen</t>
  </si>
  <si>
    <t>Polgármesteri Hivatal  módosított bevételi előirányzatinak I. féléves teljesítése %-ban összesen</t>
  </si>
  <si>
    <t>Gólyafészek Óvoda  módosított bevételi előirányzatinak I. féléves teljesítése összesen</t>
  </si>
  <si>
    <t>Gólyafészek Óvoda  módosított bevételi előirányzatinak I. féléves teljesítése %-ban összesen</t>
  </si>
  <si>
    <t>Polgármesteri Hivatal bevételeinek 3/2011. (II.11.) Kt-rendelet szerinti eredeti előirányzata összesen</t>
  </si>
  <si>
    <t>Települési Önkormányzat bevételeinek 3/2011. (II.11.) Kt-rendelet szerinti eredeti előirányzata összesen</t>
  </si>
  <si>
    <t>Települési Önkormányzat  módosított bevételi előirányzatinak I. féléves teljesítése összesen</t>
  </si>
  <si>
    <t>Települési Önkormányzat módosított bevételi előirányzatinak I. féléves teljesítése %-ban összesen</t>
  </si>
  <si>
    <t>Települési Önkormányzat bevételeinek módosított előirányzata összesen</t>
  </si>
  <si>
    <t>Cigány Kisebbségi Önkormányzat bevételeinek 3/2011. (II.11.) Kt-rendelet szerinti eredeti előirányzata összesen</t>
  </si>
  <si>
    <t>Cigány Kisebbségi  Önkormányzat bevételeinek módosított előirányzata összesen</t>
  </si>
  <si>
    <t>Cigány Kisebbségi  Önkormányzat  módosított bevételi előirányzatinak I. féléves teljesítése összesen</t>
  </si>
  <si>
    <t>Cigány Kisebbségi  Önkormányzat módosított bevételi előirányzatinak I. féléves teljesítése %-ban összesen</t>
  </si>
  <si>
    <t xml:space="preserve"> Önkormányzat bevételeinek 3/2011. (II.11.) Kt-rendelet szerinti eredeti előirányzata összesen</t>
  </si>
  <si>
    <t xml:space="preserve"> Önkormányzat bevételeinek módosított előirányzata összesen</t>
  </si>
  <si>
    <t>Önkormányzat  módosított bevételi előirányzatinak I. féléves teljesítése összesen</t>
  </si>
  <si>
    <t>Önkormányzat módosított bevételi előirányzatinak I. féléves teljesítése %-ban összesen</t>
  </si>
  <si>
    <t xml:space="preserve">Gomba Község Önkormányzata 2011. évi bevételi előirányzatainak I. félévi teljesítési adatai költségvetési címenként és  kiemelt előirányzatonként                                                              </t>
  </si>
  <si>
    <t>Gomba Község Önkormányzata 2011. évi kiadási előirányzatai I. félévi teljesítési adatai költségvetési címenként és kiemelt előirányzatonként</t>
  </si>
  <si>
    <t>Polgármesteri Hivatal kiadásainak 3/2011. (II.11.) Kt-rendelet szerinti eredeti előirányzata összesen</t>
  </si>
  <si>
    <t>Polgármesteri Hivatal kiadásainak módosított előirányzata összesen</t>
  </si>
  <si>
    <t>Gólyafészek Óvoda  kiadásainak 3/2011. (II.11.) Kt-rendelet szerinti eredeti előirányzata összesen</t>
  </si>
  <si>
    <t>Gólyafészek Óvoda  kiadásainak módosított előirányzata összesen</t>
  </si>
  <si>
    <t>Polgármesteri Hivatal  módosított kiadási előirányzatinak I. féléves teljesítése összesen</t>
  </si>
  <si>
    <t>Gólyafészek Óvoda   módosított  kiadási előirányzatinak I. féléves teljesítése összesen</t>
  </si>
  <si>
    <t>Gólyafészek Óvoda  módosított kiadási előirányzatinak I. féléves teljesítése %-ban összesen</t>
  </si>
  <si>
    <t>Gólyafészek Óvoda bevételeinek 3/2011. (II.11.) Kt-rendelet szerinti eredeti előirányzata összesen</t>
  </si>
  <si>
    <t>Gólyafészek Óvoda bevételeinek módosított előirányzata összesen</t>
  </si>
  <si>
    <t>Polgármesteri Hivatal  módosított kiadási előirányzatinak I. féléves teljesítése %-ban összesen</t>
  </si>
  <si>
    <t>Települési Önkormányzat kiadásainak 3/2011. (II.11.) Kt-rendelet szerinti eredeti előirányzata összesen</t>
  </si>
  <si>
    <t>Települési Önkormányzat kiadásainak módosított előirányzata összesen</t>
  </si>
  <si>
    <t>Települési Önkormányzat  módosított kiadási előirányzatinak I. féléves teljesítése összesen</t>
  </si>
  <si>
    <t>Települési Önkormányzat módosított kiadási előirányzatinak I. féléves teljesítése %-ban összesen</t>
  </si>
  <si>
    <t>Cigány Kisebbségi Önkormányzat kiadásainak 3/2011. (II.11.) Kt-rendelet szerinti eredeti előirányzata összesen</t>
  </si>
  <si>
    <t>Cigány Kisebbségi  Önkormányzat kiadásainak módosított előirányzata összesen</t>
  </si>
  <si>
    <t>Cigány Kisebbségi  Önkormányzat  módosított kiadási előirányzatinak I. féléves teljesítése összesen</t>
  </si>
  <si>
    <t>Cigány Kisebbségi  Önkormányzat módosított kiadási előirányzatinak I. féléves teljesítése %-ban összesen</t>
  </si>
  <si>
    <t xml:space="preserve"> Önkormányzat kiadásainak 3/2011. (II.11.) Kt-rendelet szerinti eredeti előirányzata összesen</t>
  </si>
  <si>
    <t xml:space="preserve"> Önkormányzat kiadásainak módosított előirányzata összesen</t>
  </si>
  <si>
    <t>Önkormányzat  módosított kiadási előirányzatinak I. féléves teljesítése összesen</t>
  </si>
  <si>
    <t>Önkormányzat módosított kiadási előirányzatinak I. féléves teljesítése %-ban összesen</t>
  </si>
  <si>
    <t>Sorszám/Kódszám</t>
  </si>
  <si>
    <t>Szakfeladat</t>
  </si>
  <si>
    <t>2011. évi            eredeti ei.</t>
  </si>
  <si>
    <t>2011. évi            módosít. ei.</t>
  </si>
  <si>
    <t>2011. I.félévi teljesítés</t>
  </si>
  <si>
    <t>2011. I.félévi teljesítés %-ban</t>
  </si>
  <si>
    <t>Felújítások</t>
  </si>
  <si>
    <t>Polgármesteri Hivatal felújítás</t>
  </si>
  <si>
    <t>Felsőfarkasdi iskolaépület felújítása</t>
  </si>
  <si>
    <t>Óvoda tornaszoba szigetelés,elektromos hálózat felújítás</t>
  </si>
  <si>
    <t>Jókai u.21. felújítás</t>
  </si>
  <si>
    <t>Szemere Huba pincebeomlás felújítás</t>
  </si>
  <si>
    <t>Szemők Balázs téri pihenő terület</t>
  </si>
  <si>
    <t>Felsőfarkasdi ravatalozó felújítása</t>
  </si>
  <si>
    <t>Rákoczi úti ravatalozó felújítás</t>
  </si>
  <si>
    <t>Gombai-Jókai út járda felújítás</t>
  </si>
  <si>
    <t>01./A.</t>
  </si>
  <si>
    <t>Polgármesteri Hivatal felújítási feladatai mindösszesen</t>
  </si>
  <si>
    <t>01./B</t>
  </si>
  <si>
    <t xml:space="preserve"> Gólyafészek Óvoda felújítási feladatai mindösszesen</t>
  </si>
  <si>
    <t>01.</t>
  </si>
  <si>
    <t>FELÚJÍTÁSI KIADÁSOK ÖSSZESEN (01./A + 01./B)</t>
  </si>
  <si>
    <t>Beruházások</t>
  </si>
  <si>
    <t>Biztonságtechnikai rendszer kiépítés / Faluház /</t>
  </si>
  <si>
    <t>Bercsényi út.vége / Útalap építés /</t>
  </si>
  <si>
    <t>Gombai-Liliom köz / Útalap építés 2/13-ad/</t>
  </si>
  <si>
    <t>Közvilágítás bővítés</t>
  </si>
  <si>
    <t>Kölcsey u.33-35 partfal stabil.</t>
  </si>
  <si>
    <t>Arató házaspár út szennyvízbővítés</t>
  </si>
  <si>
    <t>Gombai-Liliom köz / Víz-csatorna bővítés 2/3 rész/</t>
  </si>
  <si>
    <t>Bercsényi út vége / Ívóvíz-szennyvíz  hálózat bővítés/</t>
  </si>
  <si>
    <t>Bercsényi út vége tereprendezés</t>
  </si>
  <si>
    <t>KEOP I.ford. megvalósítás saját forrás</t>
  </si>
  <si>
    <t>Kossuth tér 21 / 2 db tűzcsap/</t>
  </si>
  <si>
    <t>Sportpálya szivattyú telepítés</t>
  </si>
  <si>
    <t>Rendezvényház beruházás / tároló építés nélkül /</t>
  </si>
  <si>
    <t>Rendezvényház beruházás / eszköz beszerzések /</t>
  </si>
  <si>
    <t>Rendezvényház beruházás / tároló építés  /</t>
  </si>
  <si>
    <t>Ph.Földkábeles áram bekötés</t>
  </si>
  <si>
    <t xml:space="preserve"> Kisiskola Földkábeles áram bekötés</t>
  </si>
  <si>
    <t>MURATEX másoló vás.</t>
  </si>
  <si>
    <t>Win-menza program vás.</t>
  </si>
  <si>
    <t>02./A.</t>
  </si>
  <si>
    <t>Polgármesteri Hivatal beruházási feladatai mindösszesen</t>
  </si>
  <si>
    <t>02./B</t>
  </si>
  <si>
    <t>02.</t>
  </si>
  <si>
    <t>BERUHÁZÁSI KIADÁSOK ÖSSZESEN (02./A + 02./B )</t>
  </si>
  <si>
    <t>Dobai Viktorné életjáradék</t>
  </si>
  <si>
    <t>Fáy András Református Általános Iskola és AMI</t>
  </si>
  <si>
    <t>03.</t>
  </si>
  <si>
    <t>FELHALMOZÁSI CÉLÚ PÉNZESZKÖZ ÁTADÁSOK MINDÖSSZESEN</t>
  </si>
  <si>
    <t>Felhalmozási célú hiteltörlesztések</t>
  </si>
  <si>
    <t>Útépítéshez felvett 4.902.641 Ft hitel törlesztő részlete.</t>
  </si>
  <si>
    <t>Út felújításokhoz felvett 125.000.000 Ft hitel törl. részlete:</t>
  </si>
  <si>
    <t>Rendezvényház beruházásához  kapcs. 56.000.000 ft-os hitel törlesztő részlete:</t>
  </si>
  <si>
    <t>Integrált településfejlesztési stratégia és akcióprogramhoz 14.000.000 Ft-os hitelkeretből igénybevett……………..Ft hitel törlesztő részlete</t>
  </si>
  <si>
    <t>04.</t>
  </si>
  <si>
    <t>HITELTÖRLESZTÉSEK MINDÖSSZESEN</t>
  </si>
  <si>
    <t>Egyéb pénzügyi befektetések</t>
  </si>
  <si>
    <t>05.</t>
  </si>
  <si>
    <t>EGYÉB PÉNZÜGYI BEFEKTETÉSEK MINDÖSSZESEN</t>
  </si>
  <si>
    <t>Felhalmozási célú tartalékok</t>
  </si>
  <si>
    <t>06./a</t>
  </si>
  <si>
    <t>Céltartalékok összesen</t>
  </si>
  <si>
    <t>06./b</t>
  </si>
  <si>
    <t xml:space="preserve">Általános tartalék </t>
  </si>
  <si>
    <t>06.</t>
  </si>
  <si>
    <t>FELHALMOZÁSI CÉLÚ TARTALÉKOK MINDÖSSZESEN (06./a+06/b)</t>
  </si>
  <si>
    <t>( adatok ezer forintban  )</t>
  </si>
  <si>
    <t>Szak- feladat száma</t>
  </si>
  <si>
    <t>MEGNEVEZÉS</t>
  </si>
  <si>
    <t xml:space="preserve">bevételek 4/2010. (II.05.) Kt-rendelet szerinti eredeti előirányzata </t>
  </si>
  <si>
    <t xml:space="preserve">bevételek módosított előirányzata </t>
  </si>
  <si>
    <t>bevételi előirányzatok I. féléves teljesítése</t>
  </si>
  <si>
    <t xml:space="preserve">bevételi előirányzatok I. féléves teljesítése %-ban </t>
  </si>
  <si>
    <t xml:space="preserve">kiadások 4/2010. (II.05.) Kt-rendelet  szerinti eredeti előirányzata </t>
  </si>
  <si>
    <t xml:space="preserve">kiadások módosított előirányzata </t>
  </si>
  <si>
    <t>kiadási előirányzatok I. féléves teljesítése</t>
  </si>
  <si>
    <t xml:space="preserve">kiadási előirányzatok I. féléves teljesítése %-ban </t>
  </si>
  <si>
    <t>kiegyenlítő/függő/átfutó  bevétel/kiadás</t>
  </si>
  <si>
    <t>Összesen:</t>
  </si>
  <si>
    <t xml:space="preserve">    általános tartalék</t>
  </si>
  <si>
    <t xml:space="preserve">    beruházási céltartalék</t>
  </si>
  <si>
    <t>,</t>
  </si>
  <si>
    <t>folyóirat, időszaki kiadvány kiadás</t>
  </si>
  <si>
    <t>rövid időtartamú közfoglalkoztatás</t>
  </si>
  <si>
    <t>BPJ-re jogosultak hosszabb időtartamú közfoglalkoztatása</t>
  </si>
  <si>
    <t>egyéb közfoglalkoztatás</t>
  </si>
  <si>
    <t>A polgármesteri hivatal költségvetési előirányzatai 2011. év I. félévi teljesítésének feladatonkénti bemutatása, külön tételben az általános és céltartalék meghatározásával</t>
  </si>
  <si>
    <t>Szervezet megnevezése</t>
  </si>
  <si>
    <t xml:space="preserve"> erdeti előirányzat</t>
  </si>
  <si>
    <t xml:space="preserve"> módosított előirányzat.</t>
  </si>
  <si>
    <t>Építéshatósági Társulás (Nyáregyháza Község Önkormányzat)</t>
  </si>
  <si>
    <t>Házi szociális gondozás Üllő</t>
  </si>
  <si>
    <t>Támogatási keret:                                                                                                 (Polgárőrség; borrend;rendőrség;alapítványok;egyesületek;)</t>
  </si>
  <si>
    <t>MAGFALVA Egyesület(majális)</t>
  </si>
  <si>
    <t>3. Társadalmi és Non-profit szervezetek támogatása pályázatok alapján összesen</t>
  </si>
  <si>
    <t>4. Rendvédelmi szervek támogatása összesen</t>
  </si>
  <si>
    <t>Bursa Hungarica Alapítvány támogatása (ösztöndíjak)</t>
  </si>
  <si>
    <t>Szloboda András támogatása</t>
  </si>
  <si>
    <t>7. Működési célú pénzeszköz átadás háztartásoknak</t>
  </si>
  <si>
    <t>Képviselői alap</t>
  </si>
  <si>
    <t>Cigány Kisebbségi Önk.(Alapítványi tám.pályázathoz kapcsolódó)</t>
  </si>
  <si>
    <t>9. Kisebbségi önkormányzatok által nyújtott támogatások mindösszesen</t>
  </si>
  <si>
    <t>1.Támogatásértékű működési célú kiadások helyi önkormányzatoknak összesen</t>
  </si>
  <si>
    <t>2. Támogatásértékü működési célú kiadás többcélú kistérségi társulásnak összesen</t>
  </si>
  <si>
    <t>Támogatási jogcím/ Szakfeladat</t>
  </si>
  <si>
    <t>2011. I.félévi teljesítés adatai</t>
  </si>
  <si>
    <t>2011. I. félévi teljesítés a módosított ei. %-ában</t>
  </si>
  <si>
    <t>I. Támogatásértékű működési célú kiadások</t>
  </si>
  <si>
    <t xml:space="preserve">5. Egyházak működési célú támogatása összesen </t>
  </si>
  <si>
    <t>6. Pénzügyi vállalkozások működési célú támogatása összesen</t>
  </si>
  <si>
    <t>8. Képviselői Alap  összesen</t>
  </si>
  <si>
    <t>I.) Támogatásértékű működési célú kiadások mindösszesen: (1+2)</t>
  </si>
  <si>
    <t>II.) ÖNKORMÁNYZAT MŰKÖDÉSI CÉLÚ PÉNZESZKÖZ ÁTADÁS MINDÖSSZESEN (3...+8)</t>
  </si>
  <si>
    <t>III.) MŰKÖDÉSI CÉLÚ PÉNZESZKÖZ ÁTADÁS MINDÖSSZESEN (I+ II+9)</t>
  </si>
  <si>
    <t>II. Működési célú pénzeszköz átadások</t>
  </si>
  <si>
    <t>III. Kisebbségi Önkormányzat működési célú pénzeszköz átadásai</t>
  </si>
  <si>
    <t>Alapítványok, társadalmi szervezetek, egyházak, egyéb szervezetek 2011. évi működési célú támogatásai
2011. évi tervezett működési célú támogatása</t>
  </si>
  <si>
    <t>Felhalmozási célú bevételek után Áfa befizetési kötelezettség (hivatal dologi kiadásai között tervezve)</t>
  </si>
  <si>
    <t>Felhalmozási célú hitelfelvétel tárgyévi kamattörlesztése  (4.902.641 Ft-os hitel kamata)</t>
  </si>
  <si>
    <t>Felhalmozási célú hitelfelvétel tárgyévi kamattörlesztése  (125.000.000 Ft-os hitel kamata)</t>
  </si>
  <si>
    <t>Felhalmozási célú hitelfelvétel tárgyévi kamattörlesztése   (56.000.000 Ft-os hitel kamata)</t>
  </si>
  <si>
    <t>Felhalmozási célú hitelfelvétel tárgyévi kamattörlesztése  (14.000.000 Ft-os hitel)</t>
  </si>
  <si>
    <t>Beruházásokhoz kapcsolódó fordított ÁFA (technikai átvezetés)</t>
  </si>
  <si>
    <t>FELHALMOZÁSI KIADÁSOK MINDÖSSZESEN:</t>
  </si>
  <si>
    <t>FELHALMOZÁSI CÉLÚ KIADÁSOK ÖSSZESEN (01+…+06)</t>
  </si>
  <si>
    <t>Fejlesztési célú tartalék előirányzata</t>
  </si>
  <si>
    <t>BEVÉTELEK</t>
  </si>
  <si>
    <t>2011. évi eredeti előirányzat</t>
  </si>
  <si>
    <t xml:space="preserve">Kiadások </t>
  </si>
  <si>
    <t xml:space="preserve">Működési bevételek </t>
  </si>
  <si>
    <t xml:space="preserve">Működési kiadások </t>
  </si>
  <si>
    <t xml:space="preserve">  ebből felhalmozási célú hitel tárgyévi kamattörlesztése</t>
  </si>
  <si>
    <t xml:space="preserve">   ebből felhalmozási célú bevételek után ÁFA befizetési kötelezettség</t>
  </si>
  <si>
    <t>Működési célú bevételek összesen</t>
  </si>
  <si>
    <t xml:space="preserve">    2.4. Bírságok, pótlékok és egyéb sajátos bevételek</t>
  </si>
  <si>
    <t>Működési célú kiadások összesen</t>
  </si>
  <si>
    <t xml:space="preserve">Működési célú bevételként számított finanszírozási műveletek és előző évi pénzmaradvány számbavétele </t>
  </si>
  <si>
    <t xml:space="preserve">Működési célú kiadásként számított finanszírozási műveletek és tartalékok számbavétele </t>
  </si>
  <si>
    <t>Működési célú bevételek mindösszesen</t>
  </si>
  <si>
    <t>Működési célú kiadások mindösszesen</t>
  </si>
  <si>
    <t xml:space="preserve">Felhalmozási kiadások </t>
  </si>
  <si>
    <t>Véglegesen átvett pénzeszközök összesen</t>
  </si>
  <si>
    <t>III.</t>
  </si>
  <si>
    <t>Felhalmozási és tőke jellegű bevételek</t>
  </si>
  <si>
    <t>Felhalmozási célú kiadások összesen</t>
  </si>
  <si>
    <t>Dologi kiadásból felhalmozási célú hitel tárgyévi kamattörlesztése</t>
  </si>
  <si>
    <t>Felhalmozási célú bevételek összesen</t>
  </si>
  <si>
    <t xml:space="preserve">    1.6. Fejlesztési célú támogatások </t>
  </si>
  <si>
    <t>Dologi kiadásból felhalmozási célú bevételek után ÁFA befizetési kötelezettség</t>
  </si>
  <si>
    <t>Felhalmozási célú pénzmaradvány igénybevétel</t>
  </si>
  <si>
    <t>Felhalmozási hitel felvétel</t>
  </si>
  <si>
    <t xml:space="preserve">Felhalmozási célú bevételként számított finanszírozási műveletek és előző évi pénzmaradvány igénybevétele </t>
  </si>
  <si>
    <t>Felhalmozási célú kiadásként számított finanszírozási műveletek</t>
  </si>
  <si>
    <t>Felhalmozási célú bevételek mindösszesen</t>
  </si>
  <si>
    <t>Felhalmozási célú kiadások mindösszesen</t>
  </si>
  <si>
    <t>Bevételek mindösszesen a finanszírozási célú műveletek és előző évek pénzmaradványának figyelembe vételével</t>
  </si>
  <si>
    <t>Kiadások mindösszesen a finanszírozási célú műveletek  figyelembe vételével</t>
  </si>
  <si>
    <t>2011. évi módosított előirányzat</t>
  </si>
  <si>
    <t>2011. I. félévi teljesítési adatok</t>
  </si>
  <si>
    <t>2011. I. félévi teljesítési adatok %-ban</t>
  </si>
  <si>
    <t>A működési és felhalmozási célú bevételi és kiadási előirányzatok 2011. I. félévi adatainak  -finanszírozási műveleteket és előző évi pénzmaradványt is figyelembe vevő- mérlegszerű bemutatása</t>
  </si>
  <si>
    <t>(Szakfeladat: 841127 Települési kisebbségi önkormányzatok igazgatási tevékenysége)</t>
  </si>
  <si>
    <t>Sorszám</t>
  </si>
  <si>
    <t xml:space="preserve"> eredeti előirányzat</t>
  </si>
  <si>
    <t>módosított előirányzat</t>
  </si>
  <si>
    <t xml:space="preserve"> Rendszeres személyi juttatások</t>
  </si>
  <si>
    <t>01</t>
  </si>
  <si>
    <t xml:space="preserve"> Nem rendszeres személyi juttatások</t>
  </si>
  <si>
    <t>02</t>
  </si>
  <si>
    <t xml:space="preserve"> Külső személyi juttatások</t>
  </si>
  <si>
    <t>03</t>
  </si>
  <si>
    <t xml:space="preserve"> Személyi juttatások (01+02+03)</t>
  </si>
  <si>
    <t>04</t>
  </si>
  <si>
    <t xml:space="preserve"> Munkaadókat terhelő járulékok</t>
  </si>
  <si>
    <t>05</t>
  </si>
  <si>
    <t>Dologi kiadások</t>
  </si>
  <si>
    <t>06</t>
  </si>
  <si>
    <t xml:space="preserve"> Egyéb folyó kiadások</t>
  </si>
  <si>
    <t>07</t>
  </si>
  <si>
    <t xml:space="preserve"> Dologi kiadások és egyéb folyó kiadások (06+07)</t>
  </si>
  <si>
    <t>08</t>
  </si>
  <si>
    <t xml:space="preserve"> Működési célú pénzeszközátadás áht-n belül</t>
  </si>
  <si>
    <t>09</t>
  </si>
  <si>
    <t xml:space="preserve"> Működési célú pénzeszközátadás áht-n kívül</t>
  </si>
  <si>
    <t>10</t>
  </si>
  <si>
    <t xml:space="preserve"> Felhalmozási célú pénzeszközátadás áht-n belül</t>
  </si>
  <si>
    <t>11</t>
  </si>
  <si>
    <t xml:space="preserve"> Felhalmozási célú pénzeszközátadás áht-n kívül</t>
  </si>
  <si>
    <t>12</t>
  </si>
  <si>
    <t xml:space="preserve"> Társadalom és szociálpolitikai juttatások</t>
  </si>
  <si>
    <t>13</t>
  </si>
  <si>
    <t xml:space="preserve"> Végleges pénzeszközátadás, egyéb támog. (10+...+14)</t>
  </si>
  <si>
    <t>14</t>
  </si>
  <si>
    <t xml:space="preserve"> Ellátottak pénzbeli juttatásai</t>
  </si>
  <si>
    <t>15</t>
  </si>
  <si>
    <t xml:space="preserve"> Működési költségvetés kiadásai (04+05+08+14+15)</t>
  </si>
  <si>
    <t>16</t>
  </si>
  <si>
    <t xml:space="preserve"> Felújítás</t>
  </si>
  <si>
    <t>17</t>
  </si>
  <si>
    <t xml:space="preserve"> Beruházási kiadások</t>
  </si>
  <si>
    <t>18</t>
  </si>
  <si>
    <t xml:space="preserve"> Hitelek, értékpapírok, kölcsönök, pénzforg. nélküli kiadások</t>
  </si>
  <si>
    <t>19</t>
  </si>
  <si>
    <t xml:space="preserve"> Helyi kisebbségi ök-ok kiadásai összesen (17+...+20)</t>
  </si>
  <si>
    <t>20</t>
  </si>
  <si>
    <t xml:space="preserve"> Helyi kisebbségi ök-ok intézményeinek működési bevételei</t>
  </si>
  <si>
    <t>21</t>
  </si>
  <si>
    <t xml:space="preserve"> Helyi kisebbségi ök-ok sajátos működési bevételei</t>
  </si>
  <si>
    <t>22</t>
  </si>
  <si>
    <t xml:space="preserve"> Helyi kisebbségi ök-ok felhalmozási és tőke jellegű bevételei</t>
  </si>
  <si>
    <t>23</t>
  </si>
  <si>
    <t xml:space="preserve"> Normatív állami hozzájárulás</t>
  </si>
  <si>
    <t>24</t>
  </si>
  <si>
    <r>
      <t xml:space="preserve"> Egyéb állami támogatás, hozzájárulás</t>
    </r>
    <r>
      <rPr>
        <i/>
        <sz val="7"/>
        <rFont val="Arial CE"/>
        <family val="2"/>
      </rPr>
      <t xml:space="preserve"> (központosított előirányzat)</t>
    </r>
  </si>
  <si>
    <t>25</t>
  </si>
  <si>
    <t xml:space="preserve"> Helyi kisebbségi ök-któl átvett pénzeszk. és egyéb kieg.</t>
  </si>
  <si>
    <t>26</t>
  </si>
  <si>
    <t xml:space="preserve"> Egyéb támogatások, kiegészítések és átvett pénzeszközök</t>
  </si>
  <si>
    <t>27</t>
  </si>
  <si>
    <t xml:space="preserve"> Hitelek, értékpapírok, kölcsönök, pénzforg. nélküli bevételek</t>
  </si>
  <si>
    <t>28</t>
  </si>
  <si>
    <t>Előző évi pénzmaradvány igénybe vétele</t>
  </si>
  <si>
    <t>29</t>
  </si>
  <si>
    <t xml:space="preserve"> Helyi kisebbségi ök-ok bevételei összesen (22+...+29)</t>
  </si>
  <si>
    <t>30</t>
  </si>
  <si>
    <t xml:space="preserve">             Gomba Község Cigány Kisebbségi Önkormányzatának 2011. évi költségvetésének végrehajtása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</si>
</sst>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0.0"/>
    <numFmt numFmtId="169" formatCode="mmm/\ d\."/>
    <numFmt numFmtId="170" formatCode="0.0%"/>
    <numFmt numFmtId="171" formatCode="_-* #,##0\ _F_t_-;\-* #,##0\ _F_t_-;_-* &quot;-&quot;??\ _F_t_-;_-@_-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i/>
      <sz val="8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0"/>
    </font>
    <font>
      <sz val="7"/>
      <name val="Arial CE"/>
      <family val="2"/>
    </font>
    <font>
      <b/>
      <i/>
      <sz val="10"/>
      <name val="Arial CE"/>
      <family val="2"/>
    </font>
    <font>
      <sz val="6"/>
      <name val="Arial CE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.3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7"/>
      <color indexed="8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0"/>
      <name val="Arial"/>
      <family val="2"/>
    </font>
    <font>
      <b/>
      <i/>
      <sz val="12"/>
      <name val="Arial CE"/>
      <family val="0"/>
    </font>
    <font>
      <b/>
      <i/>
      <sz val="8"/>
      <color indexed="62"/>
      <name val="Arial CE"/>
      <family val="0"/>
    </font>
    <font>
      <b/>
      <sz val="10"/>
      <color indexed="62"/>
      <name val="Arial CE"/>
      <family val="0"/>
    </font>
    <font>
      <sz val="8"/>
      <color indexed="18"/>
      <name val="Arial CE"/>
      <family val="0"/>
    </font>
    <font>
      <b/>
      <sz val="10"/>
      <color indexed="18"/>
      <name val="Arial CE"/>
      <family val="0"/>
    </font>
    <font>
      <sz val="12"/>
      <name val="Arial CE"/>
      <family val="2"/>
    </font>
    <font>
      <sz val="9"/>
      <name val="Arial CE"/>
      <family val="2"/>
    </font>
    <font>
      <sz val="12"/>
      <color indexed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Arial CE"/>
      <family val="2"/>
    </font>
    <font>
      <b/>
      <sz val="10"/>
      <name val="Times New Roman"/>
      <family val="1"/>
    </font>
    <font>
      <b/>
      <sz val="13"/>
      <name val="Arial CE"/>
      <family val="2"/>
    </font>
    <font>
      <sz val="9"/>
      <name val="Tahoma"/>
      <family val="0"/>
    </font>
    <font>
      <b/>
      <sz val="9"/>
      <name val="Tahoma"/>
      <family val="0"/>
    </font>
    <font>
      <b/>
      <sz val="7"/>
      <name val="Arial CE"/>
      <family val="0"/>
    </font>
    <font>
      <sz val="14"/>
      <name val="Arial CE"/>
      <family val="2"/>
    </font>
    <font>
      <sz val="10"/>
      <name val="MS Sans Serif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name val="Arial CE"/>
      <family val="2"/>
    </font>
    <font>
      <i/>
      <sz val="11"/>
      <name val="Arial CE"/>
      <family val="2"/>
    </font>
    <font>
      <b/>
      <i/>
      <sz val="11"/>
      <name val="Arial CE"/>
      <family val="0"/>
    </font>
    <font>
      <i/>
      <sz val="9"/>
      <name val="Arial CE"/>
      <family val="0"/>
    </font>
    <font>
      <b/>
      <sz val="16"/>
      <name val="Arial"/>
      <family val="2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8"/>
      <name val="Arial CE"/>
      <family val="0"/>
    </font>
    <font>
      <b/>
      <sz val="8"/>
      <color indexed="10"/>
      <name val="Arial CE"/>
      <family val="2"/>
    </font>
    <font>
      <sz val="8"/>
      <color indexed="10"/>
      <name val="Arial CE"/>
      <family val="2"/>
    </font>
    <font>
      <sz val="6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name val="Arial"/>
      <family val="2"/>
    </font>
    <font>
      <b/>
      <sz val="11"/>
      <name val="Garamond"/>
      <family val="1"/>
    </font>
    <font>
      <i/>
      <sz val="7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8"/>
      <color indexed="10"/>
      <name val="Arial CE"/>
      <family val="0"/>
    </font>
    <font>
      <b/>
      <sz val="14"/>
      <color indexed="10"/>
      <name val="Arial CE"/>
      <family val="2"/>
    </font>
    <font>
      <b/>
      <sz val="16"/>
      <color indexed="60"/>
      <name val="Arial CE"/>
      <family val="0"/>
    </font>
    <font>
      <b/>
      <sz val="16"/>
      <color indexed="14"/>
      <name val="Arial CE"/>
      <family val="0"/>
    </font>
    <font>
      <b/>
      <sz val="12"/>
      <color indexed="60"/>
      <name val="Arial CE"/>
      <family val="0"/>
    </font>
    <font>
      <b/>
      <sz val="11"/>
      <color indexed="10"/>
      <name val="Arial CE"/>
      <family val="2"/>
    </font>
    <font>
      <b/>
      <sz val="11"/>
      <color indexed="9"/>
      <name val="Arial CE"/>
      <family val="0"/>
    </font>
    <font>
      <b/>
      <sz val="11"/>
      <color indexed="62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FF0000"/>
      <name val="Arial CE"/>
      <family val="0"/>
    </font>
    <font>
      <b/>
      <i/>
      <sz val="8"/>
      <color rgb="FFFF0000"/>
      <name val="Arial CE"/>
      <family val="0"/>
    </font>
    <font>
      <b/>
      <sz val="14"/>
      <color rgb="FFFF0000"/>
      <name val="Arial CE"/>
      <family val="2"/>
    </font>
    <font>
      <b/>
      <sz val="16"/>
      <color rgb="FFC00000"/>
      <name val="Arial CE"/>
      <family val="0"/>
    </font>
    <font>
      <b/>
      <sz val="16"/>
      <color rgb="FFD60093"/>
      <name val="Arial CE"/>
      <family val="0"/>
    </font>
    <font>
      <b/>
      <sz val="12"/>
      <color rgb="FFC00000"/>
      <name val="Arial CE"/>
      <family val="0"/>
    </font>
    <font>
      <b/>
      <sz val="11"/>
      <color rgb="FFFF0000"/>
      <name val="Arial CE"/>
      <family val="2"/>
    </font>
    <font>
      <b/>
      <sz val="11"/>
      <color theme="0"/>
      <name val="Arial CE"/>
      <family val="0"/>
    </font>
    <font>
      <b/>
      <sz val="11"/>
      <color theme="3" tint="0.39998000860214233"/>
      <name val="Arial CE"/>
      <family val="0"/>
    </font>
    <font>
      <b/>
      <sz val="8"/>
      <name val="Calibri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BCB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</fills>
  <borders count="1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>
        <color indexed="8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/>
      <right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/>
      <right/>
      <top/>
      <bottom style="thin">
        <color indexed="8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1" applyNumberFormat="0" applyAlignment="0" applyProtection="0"/>
    <xf numFmtId="0" fontId="86" fillId="0" borderId="0" applyNumberFormat="0" applyFill="0" applyBorder="0" applyAlignment="0" applyProtection="0"/>
    <xf numFmtId="0" fontId="87" fillId="0" borderId="2" applyNumberFormat="0" applyFill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89" fillId="0" borderId="0" applyNumberFormat="0" applyFill="0" applyBorder="0" applyAlignment="0" applyProtection="0"/>
    <xf numFmtId="0" fontId="9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6" applyNumberFormat="0" applyFill="0" applyAlignment="0" applyProtection="0"/>
    <xf numFmtId="0" fontId="0" fillId="22" borderId="7" applyNumberFormat="0" applyFont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4" fillId="29" borderId="0" applyNumberFormat="0" applyBorder="0" applyAlignment="0" applyProtection="0"/>
    <xf numFmtId="0" fontId="95" fillId="30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9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9" fillId="31" borderId="0" applyNumberFormat="0" applyBorder="0" applyAlignment="0" applyProtection="0"/>
    <xf numFmtId="0" fontId="100" fillId="32" borderId="0" applyNumberFormat="0" applyBorder="0" applyAlignment="0" applyProtection="0"/>
    <xf numFmtId="0" fontId="101" fillId="30" borderId="1" applyNumberFormat="0" applyAlignment="0" applyProtection="0"/>
    <xf numFmtId="9" fontId="0" fillId="0" borderId="0" applyFont="0" applyFill="0" applyBorder="0" applyAlignment="0" applyProtection="0"/>
  </cellStyleXfs>
  <cellXfs count="663">
    <xf numFmtId="0" fontId="0" fillId="0" borderId="0" xfId="0" applyFont="1" applyAlignment="1">
      <alignment/>
    </xf>
    <xf numFmtId="0" fontId="2" fillId="0" borderId="0" xfId="60" applyFill="1" applyBorder="1">
      <alignment/>
      <protection/>
    </xf>
    <xf numFmtId="0" fontId="2" fillId="0" borderId="0" xfId="60">
      <alignment/>
      <protection/>
    </xf>
    <xf numFmtId="0" fontId="3" fillId="0" borderId="0" xfId="60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Fill="1" applyBorder="1" applyAlignment="1">
      <alignment horizontal="left"/>
      <protection/>
    </xf>
    <xf numFmtId="3" fontId="5" fillId="33" borderId="10" xfId="60" applyNumberFormat="1" applyFont="1" applyFill="1" applyBorder="1" applyAlignment="1" applyProtection="1">
      <alignment horizontal="center" vertical="center"/>
      <protection locked="0"/>
    </xf>
    <xf numFmtId="0" fontId="2" fillId="0" borderId="0" xfId="60" applyFont="1" applyFill="1" applyBorder="1">
      <alignment/>
      <protection/>
    </xf>
    <xf numFmtId="3" fontId="2" fillId="34" borderId="11" xfId="60" applyNumberFormat="1" applyFont="1" applyFill="1" applyBorder="1" applyAlignment="1" applyProtection="1">
      <alignment/>
      <protection locked="0"/>
    </xf>
    <xf numFmtId="0" fontId="2" fillId="0" borderId="11" xfId="60" applyFont="1" applyBorder="1">
      <alignment/>
      <protection/>
    </xf>
    <xf numFmtId="0" fontId="2" fillId="0" borderId="0" xfId="60" applyFont="1" applyFill="1" applyBorder="1" applyAlignment="1">
      <alignment vertical="center"/>
      <protection/>
    </xf>
    <xf numFmtId="0" fontId="5" fillId="0" borderId="0" xfId="60" applyFont="1" applyFill="1" applyBorder="1" applyAlignment="1">
      <alignment vertical="center"/>
      <protection/>
    </xf>
    <xf numFmtId="0" fontId="5" fillId="0" borderId="0" xfId="60" applyFont="1" applyFill="1" applyBorder="1">
      <alignment/>
      <protection/>
    </xf>
    <xf numFmtId="3" fontId="2" fillId="0" borderId="11" xfId="60" applyNumberFormat="1" applyFont="1" applyFill="1" applyBorder="1" applyProtection="1">
      <alignment/>
      <protection locked="0"/>
    </xf>
    <xf numFmtId="0" fontId="6" fillId="0" borderId="0" xfId="60" applyFont="1" applyFill="1" applyBorder="1" applyAlignment="1">
      <alignment horizontal="center" vertical="center" wrapText="1"/>
      <protection/>
    </xf>
    <xf numFmtId="0" fontId="6" fillId="0" borderId="12" xfId="60" applyFont="1" applyBorder="1" applyAlignment="1" applyProtection="1">
      <alignment horizontal="center" vertical="center" wrapText="1"/>
      <protection locked="0"/>
    </xf>
    <xf numFmtId="1" fontId="9" fillId="35" borderId="13" xfId="6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60" applyFont="1" applyFill="1" applyBorder="1">
      <alignment/>
      <protection/>
    </xf>
    <xf numFmtId="3" fontId="102" fillId="0" borderId="14" xfId="60" applyNumberFormat="1" applyFont="1" applyFill="1" applyBorder="1" applyProtection="1">
      <alignment/>
      <protection locked="0"/>
    </xf>
    <xf numFmtId="3" fontId="103" fillId="0" borderId="0" xfId="60" applyNumberFormat="1" applyFont="1" applyFill="1" applyBorder="1" applyProtection="1">
      <alignment/>
      <protection locked="0"/>
    </xf>
    <xf numFmtId="3" fontId="5" fillId="0" borderId="0" xfId="60" applyNumberFormat="1" applyFont="1" applyFill="1" applyBorder="1" applyAlignment="1" applyProtection="1">
      <alignment/>
      <protection locked="0"/>
    </xf>
    <xf numFmtId="3" fontId="5" fillId="0" borderId="0" xfId="60" applyNumberFormat="1" applyFont="1" applyFill="1" applyBorder="1" applyAlignment="1" applyProtection="1">
      <alignment wrapText="1"/>
      <protection locked="0"/>
    </xf>
    <xf numFmtId="0" fontId="5" fillId="0" borderId="0" xfId="60" applyFont="1" applyFill="1" applyBorder="1" applyAlignment="1" applyProtection="1">
      <alignment/>
      <protection locked="0"/>
    </xf>
    <xf numFmtId="3" fontId="5" fillId="0" borderId="0" xfId="60" applyNumberFormat="1" applyFont="1" applyFill="1" applyBorder="1" applyAlignment="1">
      <alignment horizontal="right" vertical="center"/>
      <protection/>
    </xf>
    <xf numFmtId="3" fontId="5" fillId="36" borderId="11" xfId="60" applyNumberFormat="1" applyFont="1" applyFill="1" applyBorder="1" applyAlignment="1" applyProtection="1">
      <alignment/>
      <protection locked="0"/>
    </xf>
    <xf numFmtId="0" fontId="6" fillId="0" borderId="0" xfId="60" applyFont="1" applyFill="1" applyBorder="1">
      <alignment/>
      <protection/>
    </xf>
    <xf numFmtId="0" fontId="3" fillId="0" borderId="0" xfId="60" applyFont="1" applyAlignment="1" applyProtection="1">
      <alignment/>
      <protection locked="0"/>
    </xf>
    <xf numFmtId="0" fontId="16" fillId="0" borderId="0" xfId="60" applyFont="1" applyAlignment="1" applyProtection="1">
      <alignment vertical="center" wrapText="1"/>
      <protection locked="0"/>
    </xf>
    <xf numFmtId="0" fontId="17" fillId="0" borderId="0" xfId="60" applyFont="1" applyAlignment="1" applyProtection="1">
      <alignment vertical="center" wrapText="1"/>
      <protection locked="0"/>
    </xf>
    <xf numFmtId="3" fontId="5" fillId="36" borderId="15" xfId="60" applyNumberFormat="1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/>
      <protection locked="0"/>
    </xf>
    <xf numFmtId="3" fontId="5" fillId="36" borderId="16" xfId="60" applyNumberFormat="1" applyFont="1" applyFill="1" applyBorder="1" applyAlignment="1" applyProtection="1">
      <alignment/>
      <protection locked="0"/>
    </xf>
    <xf numFmtId="0" fontId="5" fillId="0" borderId="0" xfId="60" applyFont="1" applyFill="1" applyBorder="1" applyAlignment="1" applyProtection="1">
      <alignment horizontal="center" vertical="center"/>
      <protection locked="0"/>
    </xf>
    <xf numFmtId="3" fontId="104" fillId="33" borderId="11" xfId="60" applyNumberFormat="1" applyFont="1" applyFill="1" applyBorder="1" applyAlignment="1" applyProtection="1">
      <alignment horizontal="center" vertical="center"/>
      <protection locked="0"/>
    </xf>
    <xf numFmtId="3" fontId="105" fillId="37" borderId="10" xfId="60" applyNumberFormat="1" applyFont="1" applyFill="1" applyBorder="1" applyAlignment="1" applyProtection="1">
      <alignment vertical="center" wrapText="1"/>
      <protection locked="0"/>
    </xf>
    <xf numFmtId="3" fontId="2" fillId="0" borderId="0" xfId="60" applyNumberFormat="1" applyFont="1" applyFill="1" applyBorder="1" applyProtection="1">
      <alignment/>
      <protection locked="0"/>
    </xf>
    <xf numFmtId="3" fontId="3" fillId="0" borderId="0" xfId="60" applyNumberFormat="1" applyFont="1" applyFill="1" applyBorder="1" applyAlignment="1" applyProtection="1">
      <alignment/>
      <protection locked="0"/>
    </xf>
    <xf numFmtId="3" fontId="2" fillId="0" borderId="0" xfId="60" applyNumberFormat="1" applyFont="1" applyFill="1" applyBorder="1" applyAlignment="1" applyProtection="1">
      <alignment/>
      <protection locked="0"/>
    </xf>
    <xf numFmtId="3" fontId="7" fillId="0" borderId="17" xfId="60" applyNumberFormat="1" applyFont="1" applyFill="1" applyBorder="1" applyAlignment="1" applyProtection="1">
      <alignment vertical="center" wrapText="1"/>
      <protection locked="0"/>
    </xf>
    <xf numFmtId="3" fontId="5" fillId="0" borderId="0" xfId="60" applyNumberFormat="1" applyFont="1" applyFill="1" applyBorder="1" applyAlignment="1" applyProtection="1">
      <alignment horizontal="center" vertical="center" wrapText="1"/>
      <protection locked="0"/>
    </xf>
    <xf numFmtId="3" fontId="105" fillId="0" borderId="0" xfId="60" applyNumberFormat="1" applyFont="1" applyFill="1" applyBorder="1" applyAlignment="1" applyProtection="1">
      <alignment vertical="center" wrapText="1"/>
      <protection locked="0"/>
    </xf>
    <xf numFmtId="0" fontId="2" fillId="0" borderId="0" xfId="60" applyFont="1" applyBorder="1">
      <alignment/>
      <protection/>
    </xf>
    <xf numFmtId="3" fontId="2" fillId="0" borderId="0" xfId="60" applyNumberFormat="1" applyFont="1" applyFill="1" applyBorder="1" applyAlignment="1">
      <alignment vertical="center" wrapText="1"/>
      <protection/>
    </xf>
    <xf numFmtId="0" fontId="5" fillId="36" borderId="11" xfId="60" applyFont="1" applyFill="1" applyBorder="1" applyAlignment="1">
      <alignment wrapText="1"/>
      <protection/>
    </xf>
    <xf numFmtId="3" fontId="7" fillId="38" borderId="10" xfId="60" applyNumberFormat="1" applyFont="1" applyFill="1" applyBorder="1" applyAlignment="1" applyProtection="1">
      <alignment horizontal="center" vertical="center" wrapText="1"/>
      <protection locked="0"/>
    </xf>
    <xf numFmtId="3" fontId="106" fillId="38" borderId="11" xfId="60" applyNumberFormat="1" applyFont="1" applyFill="1" applyBorder="1" applyAlignment="1" applyProtection="1">
      <alignment horizontal="center" vertical="center"/>
      <protection locked="0"/>
    </xf>
    <xf numFmtId="3" fontId="5" fillId="0" borderId="0" xfId="60" applyNumberFormat="1" applyFont="1" applyFill="1" applyBorder="1" applyAlignment="1">
      <alignment wrapText="1"/>
      <protection/>
    </xf>
    <xf numFmtId="3" fontId="5" fillId="0" borderId="0" xfId="60" applyNumberFormat="1" applyFont="1" applyFill="1" applyBorder="1" applyAlignment="1" applyProtection="1">
      <alignment vertical="center" wrapText="1"/>
      <protection locked="0"/>
    </xf>
    <xf numFmtId="3" fontId="106" fillId="0" borderId="0" xfId="60" applyNumberFormat="1" applyFont="1" applyFill="1" applyBorder="1" applyAlignment="1" applyProtection="1">
      <alignment horizontal="center" vertical="center"/>
      <protection locked="0"/>
    </xf>
    <xf numFmtId="0" fontId="7" fillId="0" borderId="0" xfId="60" applyFont="1" applyAlignment="1">
      <alignment horizontal="center"/>
      <protection/>
    </xf>
    <xf numFmtId="0" fontId="7" fillId="0" borderId="11" xfId="60" applyFont="1" applyBorder="1" applyAlignment="1">
      <alignment horizontal="left"/>
      <protection/>
    </xf>
    <xf numFmtId="0" fontId="7" fillId="0" borderId="11" xfId="60" applyFont="1" applyBorder="1" applyAlignment="1">
      <alignment horizontal="center"/>
      <protection/>
    </xf>
    <xf numFmtId="0" fontId="19" fillId="0" borderId="11" xfId="60" applyFont="1" applyBorder="1" applyAlignment="1">
      <alignment horizontal="center"/>
      <protection/>
    </xf>
    <xf numFmtId="0" fontId="7" fillId="0" borderId="0" xfId="60" applyFont="1" applyFill="1" applyBorder="1" applyAlignment="1">
      <alignment horizontal="center"/>
      <protection/>
    </xf>
    <xf numFmtId="0" fontId="2" fillId="0" borderId="0" xfId="60" applyFont="1" applyFill="1" applyBorder="1" applyAlignment="1">
      <alignment horizontal="center" vertical="center"/>
      <protection/>
    </xf>
    <xf numFmtId="0" fontId="5" fillId="0" borderId="0" xfId="60" applyFont="1" applyFill="1" applyBorder="1" applyAlignment="1">
      <alignment/>
      <protection/>
    </xf>
    <xf numFmtId="3" fontId="7" fillId="0" borderId="0" xfId="60" applyNumberFormat="1" applyFont="1" applyFill="1" applyBorder="1" applyAlignment="1">
      <alignment wrapText="1"/>
      <protection/>
    </xf>
    <xf numFmtId="3" fontId="7" fillId="38" borderId="11" xfId="60" applyNumberFormat="1" applyFont="1" applyFill="1" applyBorder="1" applyAlignment="1" applyProtection="1">
      <alignment vertical="center" wrapText="1"/>
      <protection locked="0"/>
    </xf>
    <xf numFmtId="3" fontId="2" fillId="0" borderId="0" xfId="60" applyNumberFormat="1" applyFont="1">
      <alignment/>
      <protection/>
    </xf>
    <xf numFmtId="0" fontId="2" fillId="0" borderId="0" xfId="60" applyFont="1">
      <alignment/>
      <protection/>
    </xf>
    <xf numFmtId="0" fontId="5" fillId="36" borderId="18" xfId="60" applyFont="1" applyFill="1" applyBorder="1" applyAlignment="1">
      <alignment vertical="center" wrapText="1"/>
      <protection/>
    </xf>
    <xf numFmtId="0" fontId="5" fillId="36" borderId="18" xfId="60" applyFont="1" applyFill="1" applyBorder="1" applyAlignment="1">
      <alignment wrapText="1"/>
      <protection/>
    </xf>
    <xf numFmtId="0" fontId="11" fillId="0" borderId="19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24" fillId="0" borderId="0" xfId="60" applyFont="1" applyAlignment="1">
      <alignment vertical="center"/>
      <protection/>
    </xf>
    <xf numFmtId="0" fontId="8" fillId="0" borderId="0" xfId="60" applyFont="1" applyAlignment="1">
      <alignment horizontal="right"/>
      <protection/>
    </xf>
    <xf numFmtId="0" fontId="8" fillId="0" borderId="0" xfId="60" applyFont="1" applyAlignment="1">
      <alignment/>
      <protection/>
    </xf>
    <xf numFmtId="0" fontId="26" fillId="0" borderId="0" xfId="60" applyFont="1" applyAlignment="1">
      <alignment vertical="center"/>
      <protection/>
    </xf>
    <xf numFmtId="0" fontId="25" fillId="0" borderId="0" xfId="60" applyFont="1" applyAlignment="1">
      <alignment horizontal="right" vertical="center"/>
      <protection/>
    </xf>
    <xf numFmtId="0" fontId="5" fillId="0" borderId="21" xfId="60" applyFont="1" applyBorder="1" applyAlignment="1">
      <alignment horizontal="center" vertical="center"/>
      <protection/>
    </xf>
    <xf numFmtId="0" fontId="5" fillId="0" borderId="22" xfId="60" applyFont="1" applyBorder="1" applyAlignment="1">
      <alignment horizontal="center" vertical="center" wrapText="1"/>
      <protection/>
    </xf>
    <xf numFmtId="0" fontId="27" fillId="0" borderId="22" xfId="60" applyFont="1" applyFill="1" applyBorder="1" applyAlignment="1" applyProtection="1">
      <alignment horizontal="left" vertical="center"/>
      <protection locked="0"/>
    </xf>
    <xf numFmtId="3" fontId="27" fillId="0" borderId="22" xfId="60" applyNumberFormat="1" applyFont="1" applyFill="1" applyBorder="1" applyAlignment="1" applyProtection="1">
      <alignment horizontal="right" vertical="center"/>
      <protection locked="0"/>
    </xf>
    <xf numFmtId="0" fontId="27" fillId="0" borderId="22" xfId="60" applyFont="1" applyFill="1" applyBorder="1" applyAlignment="1" applyProtection="1">
      <alignment horizontal="left" vertical="center" wrapText="1"/>
      <protection locked="0"/>
    </xf>
    <xf numFmtId="0" fontId="28" fillId="33" borderId="13" xfId="60" applyFont="1" applyFill="1" applyBorder="1" applyAlignment="1">
      <alignment vertical="center" wrapText="1"/>
      <protection/>
    </xf>
    <xf numFmtId="3" fontId="28" fillId="33" borderId="22" xfId="60" applyNumberFormat="1" applyFont="1" applyFill="1" applyBorder="1" applyAlignment="1">
      <alignment horizontal="center" vertical="center"/>
      <protection/>
    </xf>
    <xf numFmtId="0" fontId="28" fillId="0" borderId="23" xfId="60" applyFont="1" applyBorder="1" applyAlignment="1">
      <alignment horizontal="center" vertical="center"/>
      <protection/>
    </xf>
    <xf numFmtId="0" fontId="28" fillId="0" borderId="22" xfId="60" applyFont="1" applyBorder="1" applyAlignment="1">
      <alignment horizontal="center" vertical="center" wrapText="1"/>
      <protection/>
    </xf>
    <xf numFmtId="0" fontId="2" fillId="0" borderId="0" xfId="60" applyFont="1" applyAlignment="1">
      <alignment horizontal="center"/>
      <protection/>
    </xf>
    <xf numFmtId="0" fontId="29" fillId="33" borderId="24" xfId="60" applyFont="1" applyFill="1" applyBorder="1" applyAlignment="1">
      <alignment vertical="center" wrapText="1"/>
      <protection/>
    </xf>
    <xf numFmtId="3" fontId="28" fillId="33" borderId="25" xfId="60" applyNumberFormat="1" applyFont="1" applyFill="1" applyBorder="1" applyAlignment="1">
      <alignment horizontal="center" vertical="center"/>
      <protection/>
    </xf>
    <xf numFmtId="0" fontId="24" fillId="0" borderId="11" xfId="60" applyFont="1" applyBorder="1" applyAlignment="1">
      <alignment vertical="center"/>
      <protection/>
    </xf>
    <xf numFmtId="3" fontId="24" fillId="0" borderId="11" xfId="60" applyNumberFormat="1" applyFont="1" applyBorder="1" applyAlignment="1">
      <alignment vertical="center"/>
      <protection/>
    </xf>
    <xf numFmtId="0" fontId="5" fillId="0" borderId="12" xfId="60" applyFont="1" applyBorder="1" applyAlignment="1">
      <alignment horizontal="center" vertical="center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30" fillId="0" borderId="0" xfId="60" applyFont="1">
      <alignment/>
      <protection/>
    </xf>
    <xf numFmtId="0" fontId="31" fillId="33" borderId="11" xfId="60" applyFont="1" applyFill="1" applyBorder="1" applyAlignment="1">
      <alignment vertical="center" wrapText="1"/>
      <protection/>
    </xf>
    <xf numFmtId="3" fontId="28" fillId="33" borderId="11" xfId="60" applyNumberFormat="1" applyFont="1" applyFill="1" applyBorder="1" applyAlignment="1">
      <alignment horizontal="center" vertical="center"/>
      <protection/>
    </xf>
    <xf numFmtId="0" fontId="32" fillId="0" borderId="26" xfId="60" applyFont="1" applyFill="1" applyBorder="1" applyAlignment="1">
      <alignment vertical="center"/>
      <protection/>
    </xf>
    <xf numFmtId="3" fontId="32" fillId="0" borderId="13" xfId="60" applyNumberFormat="1" applyFont="1" applyFill="1" applyBorder="1" applyAlignment="1">
      <alignment horizontal="center" vertical="center"/>
      <protection/>
    </xf>
    <xf numFmtId="0" fontId="5" fillId="0" borderId="11" xfId="60" applyFont="1" applyFill="1" applyBorder="1" applyAlignment="1">
      <alignment wrapText="1"/>
      <protection/>
    </xf>
    <xf numFmtId="3" fontId="103" fillId="0" borderId="0" xfId="60" applyNumberFormat="1" applyFont="1" applyFill="1" applyBorder="1" applyAlignment="1" applyProtection="1">
      <alignment/>
      <protection locked="0"/>
    </xf>
    <xf numFmtId="3" fontId="5" fillId="36" borderId="16" xfId="60" applyNumberFormat="1" applyFont="1" applyFill="1" applyBorder="1" applyAlignment="1" applyProtection="1">
      <alignment/>
      <protection/>
    </xf>
    <xf numFmtId="3" fontId="5" fillId="33" borderId="10" xfId="60" applyNumberFormat="1" applyFont="1" applyFill="1" applyBorder="1" applyAlignment="1" applyProtection="1">
      <alignment horizontal="center" vertical="center"/>
      <protection/>
    </xf>
    <xf numFmtId="1" fontId="9" fillId="35" borderId="22" xfId="60" applyNumberFormat="1" applyFont="1" applyFill="1" applyBorder="1" applyAlignment="1" applyProtection="1">
      <alignment horizontal="center" vertical="center" wrapText="1"/>
      <protection/>
    </xf>
    <xf numFmtId="1" fontId="9" fillId="39" borderId="13" xfId="60" applyNumberFormat="1" applyFont="1" applyFill="1" applyBorder="1" applyAlignment="1" applyProtection="1">
      <alignment horizontal="center" vertical="center" wrapText="1"/>
      <protection/>
    </xf>
    <xf numFmtId="0" fontId="6" fillId="0" borderId="12" xfId="60" applyFont="1" applyBorder="1" applyAlignment="1" applyProtection="1">
      <alignment horizontal="center" vertical="center" wrapText="1"/>
      <protection/>
    </xf>
    <xf numFmtId="0" fontId="6" fillId="0" borderId="12" xfId="60" applyFont="1" applyFill="1" applyBorder="1" applyAlignment="1" applyProtection="1">
      <alignment horizontal="center" vertical="center" wrapText="1"/>
      <protection/>
    </xf>
    <xf numFmtId="0" fontId="8" fillId="0" borderId="12" xfId="60" applyFont="1" applyBorder="1" applyAlignment="1" applyProtection="1">
      <alignment horizontal="center" vertical="center" wrapText="1"/>
      <protection/>
    </xf>
    <xf numFmtId="0" fontId="7" fillId="36" borderId="27" xfId="60" applyFont="1" applyFill="1" applyBorder="1" applyAlignment="1" applyProtection="1">
      <alignment/>
      <protection/>
    </xf>
    <xf numFmtId="0" fontId="2" fillId="40" borderId="15" xfId="60" applyFont="1" applyFill="1" applyBorder="1" applyProtection="1">
      <alignment/>
      <protection/>
    </xf>
    <xf numFmtId="3" fontId="5" fillId="36" borderId="15" xfId="60" applyNumberFormat="1" applyFont="1" applyFill="1" applyBorder="1" applyAlignment="1" applyProtection="1">
      <alignment/>
      <protection/>
    </xf>
    <xf numFmtId="3" fontId="3" fillId="36" borderId="15" xfId="60" applyNumberFormat="1" applyFont="1" applyFill="1" applyBorder="1" applyAlignment="1" applyProtection="1">
      <alignment/>
      <protection/>
    </xf>
    <xf numFmtId="0" fontId="5" fillId="36" borderId="11" xfId="60" applyFont="1" applyFill="1" applyBorder="1" applyAlignment="1" applyProtection="1">
      <alignment horizontal="center" vertical="center"/>
      <protection/>
    </xf>
    <xf numFmtId="0" fontId="5" fillId="36" borderId="16" xfId="60" applyFont="1" applyFill="1" applyBorder="1" applyAlignment="1" applyProtection="1">
      <alignment/>
      <protection/>
    </xf>
    <xf numFmtId="0" fontId="11" fillId="0" borderId="11" xfId="0" applyFont="1" applyFill="1" applyBorder="1" applyAlignment="1" applyProtection="1">
      <alignment wrapText="1"/>
      <protection/>
    </xf>
    <xf numFmtId="0" fontId="5" fillId="0" borderId="28" xfId="60" applyFont="1" applyFill="1" applyBorder="1" applyAlignment="1" applyProtection="1">
      <alignment horizontal="center" vertical="center"/>
      <protection/>
    </xf>
    <xf numFmtId="0" fontId="11" fillId="0" borderId="29" xfId="0" applyFont="1" applyFill="1" applyBorder="1" applyAlignment="1" applyProtection="1">
      <alignment/>
      <protection/>
    </xf>
    <xf numFmtId="0" fontId="5" fillId="36" borderId="11" xfId="60" applyFont="1" applyFill="1" applyBorder="1" applyAlignment="1" applyProtection="1">
      <alignment/>
      <protection/>
    </xf>
    <xf numFmtId="0" fontId="5" fillId="0" borderId="29" xfId="60" applyFont="1" applyFill="1" applyBorder="1" applyAlignment="1" applyProtection="1">
      <alignment horizontal="center" vertical="center"/>
      <protection/>
    </xf>
    <xf numFmtId="0" fontId="5" fillId="0" borderId="16" xfId="60" applyFont="1" applyFill="1" applyBorder="1" applyAlignment="1" applyProtection="1">
      <alignment horizontal="center" vertical="center"/>
      <protection/>
    </xf>
    <xf numFmtId="0" fontId="12" fillId="41" borderId="22" xfId="0" applyFont="1" applyFill="1" applyBorder="1" applyAlignment="1" applyProtection="1">
      <alignment/>
      <protection/>
    </xf>
    <xf numFmtId="0" fontId="14" fillId="0" borderId="22" xfId="0" applyFont="1" applyFill="1" applyBorder="1" applyAlignment="1" applyProtection="1">
      <alignment/>
      <protection/>
    </xf>
    <xf numFmtId="0" fontId="11" fillId="0" borderId="22" xfId="0" applyFont="1" applyFill="1" applyBorder="1" applyAlignment="1" applyProtection="1">
      <alignment/>
      <protection/>
    </xf>
    <xf numFmtId="0" fontId="5" fillId="0" borderId="30" xfId="60" applyFont="1" applyFill="1" applyBorder="1" applyAlignment="1" applyProtection="1">
      <alignment horizontal="center" vertical="center"/>
      <protection/>
    </xf>
    <xf numFmtId="0" fontId="5" fillId="0" borderId="31" xfId="60" applyFont="1" applyFill="1" applyBorder="1" applyAlignment="1" applyProtection="1">
      <alignment horizontal="center" vertical="center"/>
      <protection/>
    </xf>
    <xf numFmtId="0" fontId="5" fillId="0" borderId="32" xfId="60" applyFont="1" applyFill="1" applyBorder="1" applyAlignment="1" applyProtection="1">
      <alignment horizontal="center" vertical="center"/>
      <protection/>
    </xf>
    <xf numFmtId="0" fontId="5" fillId="0" borderId="11" xfId="60" applyFont="1" applyFill="1" applyBorder="1" applyAlignment="1" applyProtection="1">
      <alignment horizontal="center" vertical="center"/>
      <protection/>
    </xf>
    <xf numFmtId="0" fontId="12" fillId="42" borderId="22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/>
      <protection/>
    </xf>
    <xf numFmtId="0" fontId="2" fillId="0" borderId="28" xfId="60" applyFont="1" applyFill="1" applyBorder="1" applyProtection="1">
      <alignment/>
      <protection/>
    </xf>
    <xf numFmtId="0" fontId="2" fillId="0" borderId="11" xfId="60" applyFont="1" applyFill="1" applyBorder="1" applyAlignment="1" applyProtection="1">
      <alignment vertical="center" wrapText="1"/>
      <protection/>
    </xf>
    <xf numFmtId="0" fontId="13" fillId="41" borderId="22" xfId="0" applyFont="1" applyFill="1" applyBorder="1" applyAlignment="1" applyProtection="1">
      <alignment/>
      <protection/>
    </xf>
    <xf numFmtId="0" fontId="5" fillId="0" borderId="33" xfId="60" applyFont="1" applyFill="1" applyBorder="1" applyAlignment="1" applyProtection="1">
      <alignment horizontal="center" vertical="center"/>
      <protection/>
    </xf>
    <xf numFmtId="0" fontId="5" fillId="0" borderId="34" xfId="60" applyFont="1" applyFill="1" applyBorder="1" applyAlignment="1" applyProtection="1">
      <alignment horizontal="center" vertical="center"/>
      <protection/>
    </xf>
    <xf numFmtId="0" fontId="12" fillId="41" borderId="22" xfId="0" applyFont="1" applyFill="1" applyBorder="1" applyAlignment="1" applyProtection="1">
      <alignment wrapText="1"/>
      <protection/>
    </xf>
    <xf numFmtId="3" fontId="5" fillId="33" borderId="35" xfId="60" applyNumberFormat="1" applyFont="1" applyFill="1" applyBorder="1" applyAlignment="1" applyProtection="1">
      <alignment horizontal="right" vertical="center"/>
      <protection/>
    </xf>
    <xf numFmtId="3" fontId="5" fillId="33" borderId="10" xfId="60" applyNumberFormat="1" applyFont="1" applyFill="1" applyBorder="1" applyAlignment="1" applyProtection="1">
      <alignment horizontal="left" vertical="center"/>
      <protection/>
    </xf>
    <xf numFmtId="3" fontId="3" fillId="36" borderId="11" xfId="60" applyNumberFormat="1" applyFont="1" applyFill="1" applyBorder="1" applyAlignment="1" applyProtection="1">
      <alignment/>
      <protection/>
    </xf>
    <xf numFmtId="0" fontId="3" fillId="0" borderId="0" xfId="60" applyFont="1" applyAlignment="1" applyProtection="1">
      <alignment/>
      <protection/>
    </xf>
    <xf numFmtId="0" fontId="8" fillId="0" borderId="0" xfId="60" applyFont="1" applyAlignment="1" applyProtection="1">
      <alignment/>
      <protection/>
    </xf>
    <xf numFmtId="0" fontId="2" fillId="36" borderId="11" xfId="60" applyFont="1" applyFill="1" applyBorder="1" applyAlignment="1" applyProtection="1">
      <alignment horizontal="center"/>
      <protection/>
    </xf>
    <xf numFmtId="0" fontId="2" fillId="0" borderId="29" xfId="60" applyFont="1" applyBorder="1" applyAlignment="1" applyProtection="1">
      <alignment/>
      <protection/>
    </xf>
    <xf numFmtId="0" fontId="2" fillId="0" borderId="11" xfId="60" applyFont="1" applyBorder="1" applyProtection="1">
      <alignment/>
      <protection/>
    </xf>
    <xf numFmtId="0" fontId="2" fillId="0" borderId="28" xfId="60" applyFont="1" applyBorder="1" applyAlignment="1" applyProtection="1">
      <alignment/>
      <protection/>
    </xf>
    <xf numFmtId="0" fontId="2" fillId="0" borderId="16" xfId="60" applyFont="1" applyBorder="1" applyAlignment="1" applyProtection="1">
      <alignment/>
      <protection/>
    </xf>
    <xf numFmtId="0" fontId="2" fillId="0" borderId="11" xfId="60" applyFont="1" applyFill="1" applyBorder="1" applyProtection="1">
      <alignment/>
      <protection/>
    </xf>
    <xf numFmtId="0" fontId="2" fillId="36" borderId="11" xfId="60" applyFont="1" applyFill="1" applyBorder="1" applyAlignment="1" applyProtection="1">
      <alignment horizontal="center"/>
      <protection/>
    </xf>
    <xf numFmtId="0" fontId="5" fillId="33" borderId="35" xfId="60" applyFont="1" applyFill="1" applyBorder="1" applyAlignment="1" applyProtection="1">
      <alignment/>
      <protection/>
    </xf>
    <xf numFmtId="3" fontId="5" fillId="37" borderId="35" xfId="60" applyNumberFormat="1" applyFont="1" applyFill="1" applyBorder="1" applyAlignment="1" applyProtection="1">
      <alignment wrapText="1"/>
      <protection/>
    </xf>
    <xf numFmtId="3" fontId="107" fillId="37" borderId="15" xfId="60" applyNumberFormat="1" applyFont="1" applyFill="1" applyBorder="1" applyAlignment="1" applyProtection="1">
      <alignment vertical="center" wrapText="1"/>
      <protection/>
    </xf>
    <xf numFmtId="3" fontId="5" fillId="37" borderId="15" xfId="60" applyNumberFormat="1" applyFont="1" applyFill="1" applyBorder="1" applyAlignment="1" applyProtection="1">
      <alignment horizontal="center" vertical="center" wrapText="1"/>
      <protection/>
    </xf>
    <xf numFmtId="3" fontId="7" fillId="38" borderId="10" xfId="60" applyNumberFormat="1" applyFont="1" applyFill="1" applyBorder="1" applyAlignment="1" applyProtection="1">
      <alignment horizontal="center" vertical="center" wrapText="1"/>
      <protection/>
    </xf>
    <xf numFmtId="0" fontId="27" fillId="0" borderId="24" xfId="60" applyFont="1" applyFill="1" applyBorder="1" applyAlignment="1" applyProtection="1">
      <alignment horizontal="left" vertical="center" wrapText="1"/>
      <protection locked="0"/>
    </xf>
    <xf numFmtId="3" fontId="27" fillId="0" borderId="25" xfId="60" applyNumberFormat="1" applyFont="1" applyFill="1" applyBorder="1" applyAlignment="1" applyProtection="1">
      <alignment horizontal="right" vertical="center"/>
      <protection locked="0"/>
    </xf>
    <xf numFmtId="168" fontId="7" fillId="0" borderId="11" xfId="60" applyNumberFormat="1" applyFont="1" applyBorder="1" applyAlignment="1">
      <alignment horizontal="center"/>
      <protection/>
    </xf>
    <xf numFmtId="0" fontId="6" fillId="0" borderId="11" xfId="60" applyFont="1" applyBorder="1" applyAlignment="1" applyProtection="1">
      <alignment vertical="center"/>
      <protection locked="0"/>
    </xf>
    <xf numFmtId="3" fontId="3" fillId="43" borderId="15" xfId="60" applyNumberFormat="1" applyFont="1" applyFill="1" applyBorder="1" applyAlignment="1" applyProtection="1">
      <alignment/>
      <protection locked="0"/>
    </xf>
    <xf numFmtId="3" fontId="5" fillId="43" borderId="15" xfId="60" applyNumberFormat="1" applyFont="1" applyFill="1" applyBorder="1" applyAlignment="1" applyProtection="1">
      <alignment/>
      <protection locked="0"/>
    </xf>
    <xf numFmtId="3" fontId="2" fillId="43" borderId="15" xfId="60" applyNumberFormat="1" applyFont="1" applyFill="1" applyBorder="1" applyAlignment="1" applyProtection="1">
      <alignment/>
      <protection locked="0"/>
    </xf>
    <xf numFmtId="3" fontId="9" fillId="43" borderId="16" xfId="60" applyNumberFormat="1" applyFont="1" applyFill="1" applyBorder="1" applyAlignment="1" applyProtection="1">
      <alignment/>
      <protection locked="0"/>
    </xf>
    <xf numFmtId="3" fontId="3" fillId="44" borderId="16" xfId="60" applyNumberFormat="1" applyFont="1" applyFill="1" applyBorder="1" applyAlignment="1" applyProtection="1">
      <alignment/>
      <protection locked="0"/>
    </xf>
    <xf numFmtId="3" fontId="3" fillId="44" borderId="15" xfId="60" applyNumberFormat="1" applyFont="1" applyFill="1" applyBorder="1" applyAlignment="1" applyProtection="1">
      <alignment/>
      <protection locked="0"/>
    </xf>
    <xf numFmtId="3" fontId="3" fillId="44" borderId="28" xfId="60" applyNumberFormat="1" applyFont="1" applyFill="1" applyBorder="1" applyAlignment="1" applyProtection="1">
      <alignment/>
      <protection locked="0"/>
    </xf>
    <xf numFmtId="3" fontId="3" fillId="44" borderId="36" xfId="60" applyNumberFormat="1" applyFont="1" applyFill="1" applyBorder="1" applyAlignment="1" applyProtection="1">
      <alignment/>
      <protection locked="0"/>
    </xf>
    <xf numFmtId="3" fontId="2" fillId="43" borderId="10" xfId="60" applyNumberFormat="1" applyFont="1" applyFill="1" applyBorder="1" applyAlignment="1" applyProtection="1">
      <alignment/>
      <protection locked="0"/>
    </xf>
    <xf numFmtId="3" fontId="9" fillId="43" borderId="15" xfId="60" applyNumberFormat="1" applyFont="1" applyFill="1" applyBorder="1" applyAlignment="1" applyProtection="1">
      <alignment/>
      <protection locked="0"/>
    </xf>
    <xf numFmtId="3" fontId="108" fillId="33" borderId="11" xfId="60" applyNumberFormat="1" applyFont="1" applyFill="1" applyBorder="1" applyAlignment="1" applyProtection="1">
      <alignment horizontal="center" vertical="center"/>
      <protection locked="0"/>
    </xf>
    <xf numFmtId="3" fontId="5" fillId="36" borderId="11" xfId="60" applyNumberFormat="1" applyFont="1" applyFill="1" applyBorder="1" applyAlignment="1" applyProtection="1">
      <alignment/>
      <protection/>
    </xf>
    <xf numFmtId="3" fontId="2" fillId="0" borderId="0" xfId="60" applyNumberFormat="1" applyFont="1" applyFill="1" applyBorder="1" applyAlignment="1">
      <alignment vertical="center"/>
      <protection/>
    </xf>
    <xf numFmtId="3" fontId="109" fillId="0" borderId="0" xfId="60" applyNumberFormat="1" applyFont="1" applyFill="1" applyBorder="1" applyAlignment="1">
      <alignment horizontal="left" vertical="center"/>
      <protection/>
    </xf>
    <xf numFmtId="3" fontId="109" fillId="0" borderId="0" xfId="60" applyNumberFormat="1" applyFont="1" applyFill="1" applyBorder="1" applyAlignment="1">
      <alignment horizontal="left"/>
      <protection/>
    </xf>
    <xf numFmtId="168" fontId="2" fillId="0" borderId="0" xfId="60" applyNumberFormat="1">
      <alignment/>
      <protection/>
    </xf>
    <xf numFmtId="3" fontId="2" fillId="0" borderId="0" xfId="60" applyNumberFormat="1" applyFont="1" applyFill="1" applyBorder="1">
      <alignment/>
      <protection/>
    </xf>
    <xf numFmtId="170" fontId="2" fillId="0" borderId="11" xfId="60" applyNumberFormat="1" applyFont="1" applyFill="1" applyBorder="1" applyProtection="1">
      <alignment/>
      <protection locked="0"/>
    </xf>
    <xf numFmtId="3" fontId="2" fillId="45" borderId="11" xfId="60" applyNumberFormat="1" applyFont="1" applyFill="1" applyBorder="1" applyProtection="1">
      <alignment/>
      <protection locked="0"/>
    </xf>
    <xf numFmtId="168" fontId="2" fillId="0" borderId="0" xfId="60" applyNumberFormat="1" applyFont="1" applyFill="1" applyBorder="1">
      <alignment/>
      <protection/>
    </xf>
    <xf numFmtId="168" fontId="5" fillId="0" borderId="0" xfId="60" applyNumberFormat="1" applyFont="1" applyFill="1" applyBorder="1" applyAlignment="1">
      <alignment vertical="center"/>
      <protection/>
    </xf>
    <xf numFmtId="168" fontId="2" fillId="0" borderId="0" xfId="60" applyNumberFormat="1" applyFont="1" applyFill="1" applyBorder="1" applyAlignment="1">
      <alignment vertical="center"/>
      <protection/>
    </xf>
    <xf numFmtId="168" fontId="5" fillId="0" borderId="0" xfId="60" applyNumberFormat="1" applyFont="1" applyFill="1" applyBorder="1" applyAlignment="1">
      <alignment horizontal="right" vertical="center"/>
      <protection/>
    </xf>
    <xf numFmtId="170" fontId="2" fillId="0" borderId="0" xfId="60" applyNumberFormat="1">
      <alignment/>
      <protection/>
    </xf>
    <xf numFmtId="170" fontId="4" fillId="0" borderId="0" xfId="60" applyNumberFormat="1" applyFont="1">
      <alignment/>
      <protection/>
    </xf>
    <xf numFmtId="170" fontId="3" fillId="0" borderId="0" xfId="60" applyNumberFormat="1" applyFont="1">
      <alignment/>
      <protection/>
    </xf>
    <xf numFmtId="170" fontId="2" fillId="0" borderId="0" xfId="60" applyNumberFormat="1" applyFont="1" applyFill="1" applyBorder="1" applyProtection="1">
      <alignment/>
      <protection locked="0"/>
    </xf>
    <xf numFmtId="170" fontId="3" fillId="0" borderId="0" xfId="60" applyNumberFormat="1" applyFont="1" applyFill="1" applyBorder="1" applyAlignment="1" applyProtection="1">
      <alignment/>
      <protection locked="0"/>
    </xf>
    <xf numFmtId="170" fontId="5" fillId="0" borderId="0" xfId="60" applyNumberFormat="1" applyFont="1" applyFill="1" applyBorder="1" applyAlignment="1" applyProtection="1">
      <alignment horizontal="center" vertical="center" wrapText="1"/>
      <protection locked="0"/>
    </xf>
    <xf numFmtId="170" fontId="105" fillId="0" borderId="0" xfId="60" applyNumberFormat="1" applyFont="1" applyFill="1" applyBorder="1" applyAlignment="1" applyProtection="1">
      <alignment vertical="center" wrapText="1"/>
      <protection locked="0"/>
    </xf>
    <xf numFmtId="170" fontId="2" fillId="0" borderId="0" xfId="60" applyNumberFormat="1" applyFont="1" applyFill="1" applyBorder="1" applyAlignment="1">
      <alignment vertical="center" wrapText="1"/>
      <protection/>
    </xf>
    <xf numFmtId="170" fontId="103" fillId="0" borderId="0" xfId="60" applyNumberFormat="1" applyFont="1" applyFill="1" applyBorder="1" applyAlignment="1" applyProtection="1">
      <alignment/>
      <protection locked="0"/>
    </xf>
    <xf numFmtId="170" fontId="106" fillId="0" borderId="0" xfId="60" applyNumberFormat="1" applyFont="1" applyFill="1" applyBorder="1" applyAlignment="1" applyProtection="1">
      <alignment horizontal="center" vertical="center"/>
      <protection locked="0"/>
    </xf>
    <xf numFmtId="170" fontId="5" fillId="36" borderId="11" xfId="60" applyNumberFormat="1" applyFont="1" applyFill="1" applyBorder="1" applyAlignment="1" applyProtection="1">
      <alignment/>
      <protection/>
    </xf>
    <xf numFmtId="170" fontId="5" fillId="33" borderId="10" xfId="60" applyNumberFormat="1" applyFont="1" applyFill="1" applyBorder="1" applyAlignment="1" applyProtection="1">
      <alignment horizontal="left" vertical="center"/>
      <protection/>
    </xf>
    <xf numFmtId="170" fontId="5" fillId="33" borderId="10" xfId="60" applyNumberFormat="1" applyFont="1" applyFill="1" applyBorder="1" applyAlignment="1" applyProtection="1">
      <alignment horizontal="center" vertical="center"/>
      <protection/>
    </xf>
    <xf numFmtId="170" fontId="107" fillId="37" borderId="15" xfId="60" applyNumberFormat="1" applyFont="1" applyFill="1" applyBorder="1" applyAlignment="1" applyProtection="1">
      <alignment vertical="center" wrapText="1"/>
      <protection/>
    </xf>
    <xf numFmtId="170" fontId="7" fillId="38" borderId="11" xfId="60" applyNumberFormat="1" applyFont="1" applyFill="1" applyBorder="1" applyAlignment="1" applyProtection="1">
      <alignment horizontal="center" vertical="center" wrapText="1"/>
      <protection locked="0"/>
    </xf>
    <xf numFmtId="3" fontId="3" fillId="46" borderId="15" xfId="60" applyNumberFormat="1" applyFont="1" applyFill="1" applyBorder="1" applyAlignment="1" applyProtection="1">
      <alignment/>
      <protection/>
    </xf>
    <xf numFmtId="170" fontId="5" fillId="46" borderId="11" xfId="60" applyNumberFormat="1" applyFont="1" applyFill="1" applyBorder="1" applyAlignment="1" applyProtection="1">
      <alignment/>
      <protection/>
    </xf>
    <xf numFmtId="170" fontId="2" fillId="6" borderId="11" xfId="60" applyNumberFormat="1" applyFont="1" applyFill="1" applyBorder="1" applyProtection="1">
      <alignment/>
      <protection locked="0"/>
    </xf>
    <xf numFmtId="170" fontId="5" fillId="36" borderId="16" xfId="60" applyNumberFormat="1" applyFont="1" applyFill="1" applyBorder="1" applyAlignment="1" applyProtection="1">
      <alignment/>
      <protection/>
    </xf>
    <xf numFmtId="170" fontId="5" fillId="46" borderId="16" xfId="60" applyNumberFormat="1" applyFont="1" applyFill="1" applyBorder="1" applyAlignment="1" applyProtection="1">
      <alignment/>
      <protection/>
    </xf>
    <xf numFmtId="170" fontId="2" fillId="7" borderId="11" xfId="60" applyNumberFormat="1" applyFont="1" applyFill="1" applyBorder="1" applyProtection="1">
      <alignment/>
      <protection locked="0"/>
    </xf>
    <xf numFmtId="0" fontId="35" fillId="0" borderId="0" xfId="60" applyFont="1" applyAlignment="1" applyProtection="1">
      <alignment/>
      <protection/>
    </xf>
    <xf numFmtId="170" fontId="5" fillId="13" borderId="11" xfId="60" applyNumberFormat="1" applyFont="1" applyFill="1" applyBorder="1" applyProtection="1">
      <alignment/>
      <protection locked="0"/>
    </xf>
    <xf numFmtId="170" fontId="5" fillId="47" borderId="10" xfId="60" applyNumberFormat="1" applyFont="1" applyFill="1" applyBorder="1" applyAlignment="1" applyProtection="1">
      <alignment horizontal="center" vertical="center"/>
      <protection/>
    </xf>
    <xf numFmtId="170" fontId="5" fillId="36" borderId="11" xfId="60" applyNumberFormat="1" applyFont="1" applyFill="1" applyBorder="1" applyAlignment="1" applyProtection="1">
      <alignment/>
      <protection/>
    </xf>
    <xf numFmtId="170" fontId="5" fillId="33" borderId="10" xfId="60" applyNumberFormat="1" applyFont="1" applyFill="1" applyBorder="1" applyAlignment="1" applyProtection="1">
      <alignment horizontal="center" vertical="center"/>
      <protection/>
    </xf>
    <xf numFmtId="170" fontId="5" fillId="0" borderId="0" xfId="60" applyNumberFormat="1" applyFont="1">
      <alignment/>
      <protection/>
    </xf>
    <xf numFmtId="170" fontId="5" fillId="0" borderId="0" xfId="60" applyNumberFormat="1" applyFont="1" applyFill="1" applyBorder="1" applyAlignment="1" applyProtection="1">
      <alignment/>
      <protection locked="0"/>
    </xf>
    <xf numFmtId="0" fontId="5" fillId="0" borderId="0" xfId="60" applyFont="1">
      <alignment/>
      <protection/>
    </xf>
    <xf numFmtId="3" fontId="3" fillId="43" borderId="15" xfId="60" applyNumberFormat="1" applyFont="1" applyFill="1" applyBorder="1" applyAlignment="1" applyProtection="1">
      <alignment/>
      <protection/>
    </xf>
    <xf numFmtId="170" fontId="5" fillId="43" borderId="16" xfId="60" applyNumberFormat="1" applyFont="1" applyFill="1" applyBorder="1" applyAlignment="1" applyProtection="1">
      <alignment/>
      <protection/>
    </xf>
    <xf numFmtId="170" fontId="5" fillId="43" borderId="16" xfId="60" applyNumberFormat="1" applyFont="1" applyFill="1" applyBorder="1" applyAlignment="1" applyProtection="1">
      <alignment/>
      <protection/>
    </xf>
    <xf numFmtId="3" fontId="5" fillId="43" borderId="15" xfId="60" applyNumberFormat="1" applyFont="1" applyFill="1" applyBorder="1" applyAlignment="1" applyProtection="1">
      <alignment/>
      <protection locked="0"/>
    </xf>
    <xf numFmtId="170" fontId="2" fillId="40" borderId="11" xfId="60" applyNumberFormat="1" applyFont="1" applyFill="1" applyBorder="1" applyProtection="1">
      <alignment/>
      <protection locked="0"/>
    </xf>
    <xf numFmtId="170" fontId="5" fillId="43" borderId="11" xfId="60" applyNumberFormat="1" applyFont="1" applyFill="1" applyBorder="1" applyAlignment="1" applyProtection="1">
      <alignment/>
      <protection/>
    </xf>
    <xf numFmtId="170" fontId="5" fillId="19" borderId="11" xfId="60" applyNumberFormat="1" applyFont="1" applyFill="1" applyBorder="1" applyProtection="1">
      <alignment/>
      <protection locked="0"/>
    </xf>
    <xf numFmtId="0" fontId="2" fillId="40" borderId="0" xfId="60" applyFont="1" applyFill="1" applyBorder="1" applyAlignment="1" applyProtection="1">
      <alignment/>
      <protection/>
    </xf>
    <xf numFmtId="0" fontId="5" fillId="36" borderId="35" xfId="60" applyFont="1" applyFill="1" applyBorder="1" applyAlignment="1" applyProtection="1">
      <alignment/>
      <protection/>
    </xf>
    <xf numFmtId="0" fontId="11" fillId="0" borderId="35" xfId="0" applyFont="1" applyFill="1" applyBorder="1" applyAlignment="1" applyProtection="1">
      <alignment wrapText="1"/>
      <protection/>
    </xf>
    <xf numFmtId="0" fontId="11" fillId="0" borderId="33" xfId="0" applyFont="1" applyFill="1" applyBorder="1" applyAlignment="1" applyProtection="1">
      <alignment/>
      <protection/>
    </xf>
    <xf numFmtId="0" fontId="12" fillId="41" borderId="37" xfId="0" applyFont="1" applyFill="1" applyBorder="1" applyAlignment="1" applyProtection="1">
      <alignment/>
      <protection/>
    </xf>
    <xf numFmtId="0" fontId="14" fillId="0" borderId="37" xfId="0" applyFont="1" applyFill="1" applyBorder="1" applyAlignment="1" applyProtection="1">
      <alignment/>
      <protection/>
    </xf>
    <xf numFmtId="0" fontId="11" fillId="0" borderId="37" xfId="0" applyFont="1" applyFill="1" applyBorder="1" applyAlignment="1" applyProtection="1">
      <alignment/>
      <protection/>
    </xf>
    <xf numFmtId="0" fontId="12" fillId="42" borderId="37" xfId="0" applyFont="1" applyFill="1" applyBorder="1" applyAlignment="1" applyProtection="1">
      <alignment wrapText="1"/>
      <protection/>
    </xf>
    <xf numFmtId="0" fontId="11" fillId="0" borderId="35" xfId="0" applyFont="1" applyFill="1" applyBorder="1" applyAlignment="1" applyProtection="1">
      <alignment/>
      <protection/>
    </xf>
    <xf numFmtId="0" fontId="2" fillId="0" borderId="34" xfId="60" applyFont="1" applyFill="1" applyBorder="1" applyProtection="1">
      <alignment/>
      <protection/>
    </xf>
    <xf numFmtId="0" fontId="2" fillId="0" borderId="35" xfId="60" applyFont="1" applyFill="1" applyBorder="1" applyAlignment="1" applyProtection="1">
      <alignment vertical="center" wrapText="1"/>
      <protection/>
    </xf>
    <xf numFmtId="0" fontId="13" fillId="41" borderId="37" xfId="0" applyFont="1" applyFill="1" applyBorder="1" applyAlignment="1" applyProtection="1">
      <alignment/>
      <protection/>
    </xf>
    <xf numFmtId="0" fontId="12" fillId="41" borderId="37" xfId="0" applyFont="1" applyFill="1" applyBorder="1" applyAlignment="1" applyProtection="1">
      <alignment wrapText="1"/>
      <protection/>
    </xf>
    <xf numFmtId="3" fontId="2" fillId="0" borderId="10" xfId="60" applyNumberFormat="1" applyFont="1" applyFill="1" applyBorder="1" applyProtection="1">
      <alignment/>
      <protection locked="0"/>
    </xf>
    <xf numFmtId="3" fontId="5" fillId="36" borderId="38" xfId="60" applyNumberFormat="1" applyFont="1" applyFill="1" applyBorder="1" applyAlignment="1" applyProtection="1">
      <alignment/>
      <protection/>
    </xf>
    <xf numFmtId="0" fontId="6" fillId="0" borderId="39" xfId="60" applyFont="1" applyBorder="1" applyAlignment="1">
      <alignment vertical="center" wrapText="1"/>
      <protection/>
    </xf>
    <xf numFmtId="0" fontId="6" fillId="0" borderId="40" xfId="60" applyFont="1" applyBorder="1" applyAlignment="1">
      <alignment vertical="center" wrapText="1"/>
      <protection/>
    </xf>
    <xf numFmtId="0" fontId="6" fillId="0" borderId="41" xfId="60" applyFont="1" applyBorder="1" applyAlignment="1">
      <alignment vertical="center" wrapText="1"/>
      <protection/>
    </xf>
    <xf numFmtId="0" fontId="2" fillId="40" borderId="42" xfId="60" applyFont="1" applyFill="1" applyBorder="1" applyAlignment="1" applyProtection="1">
      <alignment/>
      <protection/>
    </xf>
    <xf numFmtId="0" fontId="2" fillId="40" borderId="43" xfId="60" applyFont="1" applyFill="1" applyBorder="1" applyAlignment="1" applyProtection="1">
      <alignment/>
      <protection/>
    </xf>
    <xf numFmtId="3" fontId="5" fillId="36" borderId="44" xfId="60" applyNumberFormat="1" applyFont="1" applyFill="1" applyBorder="1" applyAlignment="1" applyProtection="1">
      <alignment/>
      <protection/>
    </xf>
    <xf numFmtId="3" fontId="2" fillId="0" borderId="44" xfId="60" applyNumberFormat="1" applyFont="1" applyFill="1" applyBorder="1" applyProtection="1">
      <alignment/>
      <protection locked="0"/>
    </xf>
    <xf numFmtId="3" fontId="2" fillId="0" borderId="45" xfId="60" applyNumberFormat="1" applyFont="1" applyFill="1" applyBorder="1" applyProtection="1">
      <alignment/>
      <protection locked="0"/>
    </xf>
    <xf numFmtId="3" fontId="5" fillId="36" borderId="46" xfId="60" applyNumberFormat="1" applyFont="1" applyFill="1" applyBorder="1" applyAlignment="1" applyProtection="1">
      <alignment/>
      <protection/>
    </xf>
    <xf numFmtId="3" fontId="5" fillId="33" borderId="47" xfId="60" applyNumberFormat="1" applyFont="1" applyFill="1" applyBorder="1" applyAlignment="1" applyProtection="1">
      <alignment horizontal="center" vertical="center"/>
      <protection/>
    </xf>
    <xf numFmtId="3" fontId="5" fillId="33" borderId="48" xfId="60" applyNumberFormat="1" applyFont="1" applyFill="1" applyBorder="1" applyAlignment="1" applyProtection="1">
      <alignment horizontal="center" vertical="center"/>
      <protection/>
    </xf>
    <xf numFmtId="3" fontId="5" fillId="0" borderId="11" xfId="60" applyNumberFormat="1" applyFont="1" applyFill="1" applyBorder="1" applyAlignment="1" applyProtection="1">
      <alignment/>
      <protection/>
    </xf>
    <xf numFmtId="3" fontId="2" fillId="0" borderId="11" xfId="60" applyNumberFormat="1" applyFont="1" applyFill="1" applyBorder="1" applyAlignment="1" applyProtection="1">
      <alignment/>
      <protection/>
    </xf>
    <xf numFmtId="170" fontId="5" fillId="36" borderId="45" xfId="60" applyNumberFormat="1" applyFont="1" applyFill="1" applyBorder="1" applyAlignment="1" applyProtection="1">
      <alignment/>
      <protection/>
    </xf>
    <xf numFmtId="170" fontId="5" fillId="33" borderId="47" xfId="60" applyNumberFormat="1" applyFont="1" applyFill="1" applyBorder="1" applyAlignment="1" applyProtection="1">
      <alignment horizontal="center" vertical="center"/>
      <protection/>
    </xf>
    <xf numFmtId="170" fontId="5" fillId="0" borderId="45" xfId="60" applyNumberFormat="1" applyFont="1" applyFill="1" applyBorder="1" applyAlignment="1" applyProtection="1">
      <alignment/>
      <protection/>
    </xf>
    <xf numFmtId="170" fontId="2" fillId="0" borderId="45" xfId="60" applyNumberFormat="1" applyFont="1" applyFill="1" applyBorder="1" applyAlignment="1" applyProtection="1">
      <alignment/>
      <protection/>
    </xf>
    <xf numFmtId="3" fontId="5" fillId="0" borderId="44" xfId="60" applyNumberFormat="1" applyFont="1" applyFill="1" applyBorder="1" applyAlignment="1" applyProtection="1">
      <alignment/>
      <protection/>
    </xf>
    <xf numFmtId="3" fontId="2" fillId="0" borderId="44" xfId="60" applyNumberFormat="1" applyFont="1" applyFill="1" applyBorder="1" applyAlignment="1" applyProtection="1">
      <alignment/>
      <protection/>
    </xf>
    <xf numFmtId="170" fontId="5" fillId="36" borderId="49" xfId="60" applyNumberFormat="1" applyFont="1" applyFill="1" applyBorder="1" applyAlignment="1" applyProtection="1">
      <alignment/>
      <protection/>
    </xf>
    <xf numFmtId="3" fontId="2" fillId="0" borderId="0" xfId="60" applyNumberFormat="1" applyFont="1" applyFill="1" applyBorder="1" applyAlignment="1" applyProtection="1">
      <alignment/>
      <protection/>
    </xf>
    <xf numFmtId="3" fontId="7" fillId="0" borderId="0" xfId="60" applyNumberFormat="1" applyFont="1" applyFill="1" applyBorder="1" applyAlignment="1" applyProtection="1">
      <alignment vertical="center" wrapText="1"/>
      <protection locked="0"/>
    </xf>
    <xf numFmtId="0" fontId="5" fillId="0" borderId="0" xfId="60" applyFont="1" applyBorder="1" applyAlignment="1" applyProtection="1">
      <alignment vertical="center"/>
      <protection/>
    </xf>
    <xf numFmtId="0" fontId="36" fillId="0" borderId="0" xfId="60" applyFont="1" applyBorder="1" applyAlignment="1" applyProtection="1">
      <alignment vertical="center" wrapText="1"/>
      <protection/>
    </xf>
    <xf numFmtId="0" fontId="7" fillId="36" borderId="50" xfId="60" applyFont="1" applyFill="1" applyBorder="1" applyAlignment="1" applyProtection="1">
      <alignment/>
      <protection/>
    </xf>
    <xf numFmtId="0" fontId="5" fillId="36" borderId="44" xfId="60" applyFont="1" applyFill="1" applyBorder="1" applyAlignment="1" applyProtection="1">
      <alignment horizontal="center" vertical="center"/>
      <protection/>
    </xf>
    <xf numFmtId="170" fontId="5" fillId="36" borderId="51" xfId="60" applyNumberFormat="1" applyFont="1" applyFill="1" applyBorder="1" applyAlignment="1" applyProtection="1">
      <alignment/>
      <protection/>
    </xf>
    <xf numFmtId="0" fontId="5" fillId="0" borderId="52" xfId="60" applyFont="1" applyFill="1" applyBorder="1" applyAlignment="1" applyProtection="1">
      <alignment horizontal="center" vertical="center"/>
      <protection/>
    </xf>
    <xf numFmtId="170" fontId="2" fillId="0" borderId="51" xfId="60" applyNumberFormat="1" applyFont="1" applyFill="1" applyBorder="1" applyAlignment="1" applyProtection="1">
      <alignment/>
      <protection/>
    </xf>
    <xf numFmtId="0" fontId="5" fillId="0" borderId="53" xfId="60" applyFont="1" applyFill="1" applyBorder="1" applyAlignment="1" applyProtection="1">
      <alignment horizontal="center" vertical="center"/>
      <protection/>
    </xf>
    <xf numFmtId="0" fontId="5" fillId="0" borderId="46" xfId="60" applyFont="1" applyFill="1" applyBorder="1" applyAlignment="1" applyProtection="1">
      <alignment horizontal="center" vertical="center"/>
      <protection/>
    </xf>
    <xf numFmtId="0" fontId="5" fillId="0" borderId="54" xfId="60" applyFont="1" applyFill="1" applyBorder="1" applyAlignment="1" applyProtection="1">
      <alignment horizontal="center" vertical="center"/>
      <protection/>
    </xf>
    <xf numFmtId="0" fontId="5" fillId="0" borderId="55" xfId="60" applyFont="1" applyFill="1" applyBorder="1" applyAlignment="1" applyProtection="1">
      <alignment horizontal="center" vertical="center"/>
      <protection/>
    </xf>
    <xf numFmtId="0" fontId="5" fillId="0" borderId="56" xfId="60" applyFont="1" applyFill="1" applyBorder="1" applyAlignment="1" applyProtection="1">
      <alignment horizontal="center" vertical="center"/>
      <protection/>
    </xf>
    <xf numFmtId="0" fontId="5" fillId="0" borderId="44" xfId="60" applyFont="1" applyFill="1" applyBorder="1" applyAlignment="1" applyProtection="1">
      <alignment horizontal="center" vertical="center"/>
      <protection/>
    </xf>
    <xf numFmtId="0" fontId="5" fillId="0" borderId="57" xfId="60" applyFont="1" applyFill="1" applyBorder="1" applyAlignment="1" applyProtection="1">
      <alignment horizontal="center" vertical="center"/>
      <protection/>
    </xf>
    <xf numFmtId="0" fontId="5" fillId="0" borderId="42" xfId="60" applyFont="1" applyFill="1" applyBorder="1" applyAlignment="1" applyProtection="1">
      <alignment horizontal="center" vertical="center"/>
      <protection/>
    </xf>
    <xf numFmtId="3" fontId="5" fillId="33" borderId="58" xfId="60" applyNumberFormat="1" applyFont="1" applyFill="1" applyBorder="1" applyAlignment="1" applyProtection="1">
      <alignment horizontal="right" vertical="center"/>
      <protection/>
    </xf>
    <xf numFmtId="3" fontId="5" fillId="33" borderId="59" xfId="60" applyNumberFormat="1" applyFont="1" applyFill="1" applyBorder="1" applyAlignment="1" applyProtection="1">
      <alignment horizontal="left" vertical="center"/>
      <protection/>
    </xf>
    <xf numFmtId="3" fontId="5" fillId="36" borderId="47" xfId="60" applyNumberFormat="1" applyFont="1" applyFill="1" applyBorder="1" applyAlignment="1" applyProtection="1">
      <alignment/>
      <protection/>
    </xf>
    <xf numFmtId="170" fontId="5" fillId="33" borderId="60" xfId="60" applyNumberFormat="1" applyFont="1" applyFill="1" applyBorder="1" applyAlignment="1" applyProtection="1">
      <alignment horizontal="center" vertical="center"/>
      <protection/>
    </xf>
    <xf numFmtId="0" fontId="5" fillId="36" borderId="61" xfId="60" applyFont="1" applyFill="1" applyBorder="1" applyAlignment="1">
      <alignment vertical="center" wrapText="1"/>
      <protection/>
    </xf>
    <xf numFmtId="3" fontId="5" fillId="36" borderId="18" xfId="60" applyNumberFormat="1" applyFont="1" applyFill="1" applyBorder="1" applyAlignment="1" applyProtection="1">
      <alignment/>
      <protection/>
    </xf>
    <xf numFmtId="170" fontId="5" fillId="36" borderId="62" xfId="60" applyNumberFormat="1" applyFont="1" applyFill="1" applyBorder="1" applyAlignment="1" applyProtection="1">
      <alignment/>
      <protection/>
    </xf>
    <xf numFmtId="0" fontId="2" fillId="0" borderId="44" xfId="60" applyFont="1" applyBorder="1">
      <alignment/>
      <protection/>
    </xf>
    <xf numFmtId="0" fontId="2" fillId="0" borderId="47" xfId="60" applyFont="1" applyBorder="1">
      <alignment/>
      <protection/>
    </xf>
    <xf numFmtId="3" fontId="2" fillId="0" borderId="63" xfId="60" applyNumberFormat="1" applyFont="1" applyFill="1" applyBorder="1" applyAlignment="1" applyProtection="1">
      <alignment/>
      <protection/>
    </xf>
    <xf numFmtId="170" fontId="2" fillId="0" borderId="64" xfId="60" applyNumberFormat="1" applyFont="1" applyFill="1" applyBorder="1" applyAlignment="1" applyProtection="1">
      <alignment/>
      <protection/>
    </xf>
    <xf numFmtId="3" fontId="2" fillId="0" borderId="63" xfId="60" applyNumberFormat="1" applyFont="1" applyFill="1" applyBorder="1" applyProtection="1">
      <alignment/>
      <protection locked="0"/>
    </xf>
    <xf numFmtId="3" fontId="2" fillId="0" borderId="64" xfId="60" applyNumberFormat="1" applyFont="1" applyFill="1" applyBorder="1" applyProtection="1">
      <alignment/>
      <protection locked="0"/>
    </xf>
    <xf numFmtId="0" fontId="5" fillId="36" borderId="61" xfId="60" applyFont="1" applyFill="1" applyBorder="1" applyAlignment="1">
      <alignment wrapText="1"/>
      <protection/>
    </xf>
    <xf numFmtId="3" fontId="5" fillId="36" borderId="18" xfId="60" applyNumberFormat="1" applyFont="1" applyFill="1" applyBorder="1" applyAlignment="1" applyProtection="1">
      <alignment/>
      <protection locked="0"/>
    </xf>
    <xf numFmtId="3" fontId="5" fillId="36" borderId="62" xfId="60" applyNumberFormat="1" applyFont="1" applyFill="1" applyBorder="1" applyAlignment="1" applyProtection="1">
      <alignment/>
      <protection locked="0"/>
    </xf>
    <xf numFmtId="0" fontId="11" fillId="0" borderId="65" xfId="0" applyFont="1" applyFill="1" applyBorder="1" applyAlignment="1" applyProtection="1">
      <alignment/>
      <protection locked="0"/>
    </xf>
    <xf numFmtId="0" fontId="11" fillId="0" borderId="66" xfId="0" applyFont="1" applyFill="1" applyBorder="1" applyAlignment="1" applyProtection="1">
      <alignment/>
      <protection locked="0"/>
    </xf>
    <xf numFmtId="3" fontId="7" fillId="38" borderId="47" xfId="60" applyNumberFormat="1" applyFont="1" applyFill="1" applyBorder="1" applyAlignment="1" applyProtection="1">
      <alignment vertical="center" wrapText="1"/>
      <protection locked="0"/>
    </xf>
    <xf numFmtId="3" fontId="7" fillId="38" borderId="48" xfId="60" applyNumberFormat="1" applyFont="1" applyFill="1" applyBorder="1" applyAlignment="1" applyProtection="1">
      <alignment horizontal="center" vertical="center" wrapText="1"/>
      <protection/>
    </xf>
    <xf numFmtId="170" fontId="7" fillId="38" borderId="48" xfId="60" applyNumberFormat="1" applyFont="1" applyFill="1" applyBorder="1" applyAlignment="1" applyProtection="1">
      <alignment horizontal="center" vertical="center" wrapText="1"/>
      <protection/>
    </xf>
    <xf numFmtId="170" fontId="7" fillId="38" borderId="67" xfId="60" applyNumberFormat="1" applyFont="1" applyFill="1" applyBorder="1" applyAlignment="1" applyProtection="1">
      <alignment horizontal="center" vertical="center" wrapText="1"/>
      <protection/>
    </xf>
    <xf numFmtId="170" fontId="7" fillId="0" borderId="0" xfId="60" applyNumberFormat="1" applyFont="1" applyFill="1" applyBorder="1" applyAlignment="1" applyProtection="1">
      <alignment horizontal="center" vertical="center" wrapText="1"/>
      <protection/>
    </xf>
    <xf numFmtId="170" fontId="7" fillId="38" borderId="63" xfId="60" applyNumberFormat="1" applyFont="1" applyFill="1" applyBorder="1" applyAlignment="1" applyProtection="1">
      <alignment horizontal="center" vertical="center" wrapText="1"/>
      <protection/>
    </xf>
    <xf numFmtId="3" fontId="5" fillId="36" borderId="68" xfId="60" applyNumberFormat="1" applyFont="1" applyFill="1" applyBorder="1" applyAlignment="1" applyProtection="1">
      <alignment/>
      <protection/>
    </xf>
    <xf numFmtId="3" fontId="2" fillId="0" borderId="47" xfId="60" applyNumberFormat="1" applyFont="1" applyFill="1" applyBorder="1" applyAlignment="1" applyProtection="1">
      <alignment/>
      <protection/>
    </xf>
    <xf numFmtId="3" fontId="5" fillId="0" borderId="17" xfId="60" applyNumberFormat="1" applyFont="1" applyFill="1" applyBorder="1" applyAlignment="1" applyProtection="1">
      <alignment/>
      <protection/>
    </xf>
    <xf numFmtId="3" fontId="5" fillId="0" borderId="17" xfId="60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60" applyNumberFormat="1" applyFont="1" applyFill="1" applyBorder="1" applyAlignment="1" applyProtection="1">
      <alignment/>
      <protection/>
    </xf>
    <xf numFmtId="170" fontId="5" fillId="36" borderId="18" xfId="60" applyNumberFormat="1" applyFont="1" applyFill="1" applyBorder="1" applyAlignment="1" applyProtection="1">
      <alignment/>
      <protection/>
    </xf>
    <xf numFmtId="170" fontId="2" fillId="0" borderId="18" xfId="60" applyNumberFormat="1" applyFont="1" applyFill="1" applyBorder="1" applyAlignment="1" applyProtection="1">
      <alignment/>
      <protection/>
    </xf>
    <xf numFmtId="170" fontId="2" fillId="0" borderId="16" xfId="60" applyNumberFormat="1" applyFont="1" applyFill="1" applyBorder="1" applyAlignment="1" applyProtection="1">
      <alignment/>
      <protection/>
    </xf>
    <xf numFmtId="3" fontId="2" fillId="0" borderId="16" xfId="60" applyNumberFormat="1" applyFont="1" applyFill="1" applyBorder="1" applyAlignment="1" applyProtection="1">
      <alignment/>
      <protection/>
    </xf>
    <xf numFmtId="0" fontId="5" fillId="0" borderId="69" xfId="60" applyFont="1" applyBorder="1" applyAlignment="1" applyProtection="1">
      <alignment vertical="center" wrapText="1"/>
      <protection/>
    </xf>
    <xf numFmtId="0" fontId="2" fillId="36" borderId="44" xfId="60" applyFont="1" applyFill="1" applyBorder="1" applyAlignment="1" applyProtection="1">
      <alignment horizontal="center"/>
      <protection/>
    </xf>
    <xf numFmtId="0" fontId="2" fillId="0" borderId="53" xfId="60" applyFont="1" applyBorder="1" applyAlignment="1" applyProtection="1">
      <alignment/>
      <protection/>
    </xf>
    <xf numFmtId="170" fontId="2" fillId="0" borderId="49" xfId="60" applyNumberFormat="1" applyFont="1" applyFill="1" applyBorder="1" applyAlignment="1" applyProtection="1">
      <alignment/>
      <protection/>
    </xf>
    <xf numFmtId="0" fontId="2" fillId="0" borderId="52" xfId="60" applyFont="1" applyBorder="1" applyAlignment="1" applyProtection="1">
      <alignment/>
      <protection/>
    </xf>
    <xf numFmtId="0" fontId="2" fillId="0" borderId="46" xfId="60" applyFont="1" applyBorder="1" applyAlignment="1" applyProtection="1">
      <alignment/>
      <protection/>
    </xf>
    <xf numFmtId="0" fontId="2" fillId="36" borderId="44" xfId="60" applyFont="1" applyFill="1" applyBorder="1" applyAlignment="1" applyProtection="1">
      <alignment horizontal="center"/>
      <protection/>
    </xf>
    <xf numFmtId="0" fontId="5" fillId="33" borderId="58" xfId="60" applyFont="1" applyFill="1" applyBorder="1" applyAlignment="1" applyProtection="1">
      <alignment/>
      <protection/>
    </xf>
    <xf numFmtId="3" fontId="5" fillId="48" borderId="70" xfId="60" applyNumberFormat="1" applyFont="1" applyFill="1" applyBorder="1" applyAlignment="1" applyProtection="1">
      <alignment/>
      <protection/>
    </xf>
    <xf numFmtId="170" fontId="5" fillId="48" borderId="70" xfId="60" applyNumberFormat="1" applyFont="1" applyFill="1" applyBorder="1" applyAlignment="1" applyProtection="1">
      <alignment/>
      <protection/>
    </xf>
    <xf numFmtId="170" fontId="5" fillId="48" borderId="71" xfId="60" applyNumberFormat="1" applyFont="1" applyFill="1" applyBorder="1" applyAlignment="1" applyProtection="1">
      <alignment/>
      <protection/>
    </xf>
    <xf numFmtId="0" fontId="5" fillId="0" borderId="72" xfId="60" applyFont="1" applyBorder="1" applyAlignment="1" applyProtection="1">
      <alignment vertical="center" wrapText="1"/>
      <protection/>
    </xf>
    <xf numFmtId="0" fontId="2" fillId="0" borderId="35" xfId="60" applyFont="1" applyBorder="1" applyProtection="1">
      <alignment/>
      <protection/>
    </xf>
    <xf numFmtId="0" fontId="2" fillId="0" borderId="35" xfId="60" applyFont="1" applyFill="1" applyBorder="1" applyProtection="1">
      <alignment/>
      <protection/>
    </xf>
    <xf numFmtId="0" fontId="6" fillId="0" borderId="73" xfId="60" applyFont="1" applyBorder="1" applyAlignment="1">
      <alignment vertical="center" wrapText="1"/>
      <protection/>
    </xf>
    <xf numFmtId="3" fontId="2" fillId="0" borderId="38" xfId="60" applyNumberFormat="1" applyFont="1" applyFill="1" applyBorder="1" applyAlignment="1" applyProtection="1">
      <alignment/>
      <protection/>
    </xf>
    <xf numFmtId="3" fontId="5" fillId="48" borderId="74" xfId="60" applyNumberFormat="1" applyFont="1" applyFill="1" applyBorder="1" applyAlignment="1" applyProtection="1">
      <alignment/>
      <protection/>
    </xf>
    <xf numFmtId="3" fontId="2" fillId="0" borderId="46" xfId="60" applyNumberFormat="1" applyFont="1" applyFill="1" applyBorder="1" applyAlignment="1" applyProtection="1">
      <alignment/>
      <protection/>
    </xf>
    <xf numFmtId="3" fontId="7" fillId="38" borderId="38" xfId="60" applyNumberFormat="1" applyFont="1" applyFill="1" applyBorder="1" applyAlignment="1" applyProtection="1">
      <alignment horizontal="center" vertical="center" wrapText="1"/>
      <protection/>
    </xf>
    <xf numFmtId="3" fontId="2" fillId="0" borderId="70" xfId="60" applyNumberFormat="1" applyFont="1" applyFill="1" applyBorder="1" applyAlignment="1" applyProtection="1">
      <alignment/>
      <protection/>
    </xf>
    <xf numFmtId="170" fontId="2" fillId="0" borderId="71" xfId="60" applyNumberFormat="1" applyFont="1" applyFill="1" applyBorder="1" applyAlignment="1" applyProtection="1">
      <alignment/>
      <protection/>
    </xf>
    <xf numFmtId="170" fontId="5" fillId="36" borderId="75" xfId="60" applyNumberFormat="1" applyFont="1" applyFill="1" applyBorder="1" applyAlignment="1" applyProtection="1">
      <alignment/>
      <protection/>
    </xf>
    <xf numFmtId="170" fontId="2" fillId="0" borderId="76" xfId="60" applyNumberFormat="1" applyFont="1" applyFill="1" applyBorder="1" applyAlignment="1" applyProtection="1">
      <alignment/>
      <protection/>
    </xf>
    <xf numFmtId="170" fontId="2" fillId="0" borderId="77" xfId="60" applyNumberFormat="1" applyFont="1" applyFill="1" applyBorder="1" applyAlignment="1" applyProtection="1">
      <alignment/>
      <protection/>
    </xf>
    <xf numFmtId="170" fontId="7" fillId="38" borderId="78" xfId="60" applyNumberFormat="1" applyFont="1" applyFill="1" applyBorder="1" applyAlignment="1" applyProtection="1">
      <alignment horizontal="center" vertical="center" wrapText="1"/>
      <protection/>
    </xf>
    <xf numFmtId="3" fontId="5" fillId="36" borderId="79" xfId="60" applyNumberFormat="1" applyFont="1" applyFill="1" applyBorder="1" applyAlignment="1" applyProtection="1">
      <alignment/>
      <protection/>
    </xf>
    <xf numFmtId="3" fontId="2" fillId="0" borderId="80" xfId="60" applyNumberFormat="1" applyFont="1" applyFill="1" applyBorder="1" applyAlignment="1" applyProtection="1">
      <alignment/>
      <protection/>
    </xf>
    <xf numFmtId="3" fontId="5" fillId="36" borderId="61" xfId="60" applyNumberFormat="1" applyFont="1" applyFill="1" applyBorder="1" applyAlignment="1" applyProtection="1">
      <alignment/>
      <protection locked="0"/>
    </xf>
    <xf numFmtId="3" fontId="2" fillId="0" borderId="47" xfId="60" applyNumberFormat="1" applyFont="1" applyFill="1" applyBorder="1" applyProtection="1">
      <alignment/>
      <protection locked="0"/>
    </xf>
    <xf numFmtId="3" fontId="7" fillId="38" borderId="74" xfId="60" applyNumberFormat="1" applyFont="1" applyFill="1" applyBorder="1" applyAlignment="1" applyProtection="1">
      <alignment horizontal="center" vertical="center" wrapText="1"/>
      <protection/>
    </xf>
    <xf numFmtId="3" fontId="7" fillId="38" borderId="80" xfId="60" applyNumberFormat="1" applyFont="1" applyFill="1" applyBorder="1" applyAlignment="1" applyProtection="1">
      <alignment horizontal="center" vertical="center" wrapText="1"/>
      <protection/>
    </xf>
    <xf numFmtId="170" fontId="7" fillId="38" borderId="81" xfId="60" applyNumberFormat="1" applyFont="1" applyFill="1" applyBorder="1" applyAlignment="1" applyProtection="1">
      <alignment horizontal="center" vertical="center" wrapText="1"/>
      <protection/>
    </xf>
    <xf numFmtId="3" fontId="5" fillId="36" borderId="79" xfId="60" applyNumberFormat="1" applyFont="1" applyFill="1" applyBorder="1" applyAlignment="1" applyProtection="1">
      <alignment/>
      <protection locked="0"/>
    </xf>
    <xf numFmtId="3" fontId="2" fillId="0" borderId="48" xfId="60" applyNumberFormat="1" applyFont="1" applyFill="1" applyBorder="1" applyProtection="1">
      <alignment/>
      <protection locked="0"/>
    </xf>
    <xf numFmtId="0" fontId="5" fillId="36" borderId="82" xfId="60" applyFont="1" applyFill="1" applyBorder="1" applyAlignment="1">
      <alignment wrapText="1"/>
      <protection/>
    </xf>
    <xf numFmtId="0" fontId="5" fillId="0" borderId="51" xfId="60" applyFont="1" applyFill="1" applyBorder="1" applyAlignment="1">
      <alignment wrapText="1"/>
      <protection/>
    </xf>
    <xf numFmtId="0" fontId="2" fillId="0" borderId="51" xfId="60" applyFont="1" applyBorder="1">
      <alignment/>
      <protection/>
    </xf>
    <xf numFmtId="0" fontId="2" fillId="0" borderId="60" xfId="60" applyFont="1" applyBorder="1">
      <alignment/>
      <protection/>
    </xf>
    <xf numFmtId="3" fontId="7" fillId="38" borderId="83" xfId="60" applyNumberFormat="1" applyFont="1" applyFill="1" applyBorder="1" applyAlignment="1" applyProtection="1">
      <alignment vertical="center" wrapText="1"/>
      <protection locked="0"/>
    </xf>
    <xf numFmtId="0" fontId="16" fillId="0" borderId="0" xfId="59" applyFont="1" applyFill="1" applyBorder="1" applyAlignment="1">
      <alignment horizontal="center" vertical="center"/>
      <protection/>
    </xf>
    <xf numFmtId="0" fontId="40" fillId="0" borderId="0" xfId="59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3" fontId="2" fillId="0" borderId="0" xfId="60" applyNumberFormat="1" applyFont="1" applyAlignment="1">
      <alignment horizontal="center"/>
      <protection/>
    </xf>
    <xf numFmtId="3" fontId="5" fillId="0" borderId="0" xfId="60" applyNumberFormat="1" applyFont="1" applyBorder="1" applyAlignment="1">
      <alignment/>
      <protection/>
    </xf>
    <xf numFmtId="0" fontId="5" fillId="0" borderId="0" xfId="60" applyFont="1">
      <alignment/>
      <protection/>
    </xf>
    <xf numFmtId="3" fontId="5" fillId="0" borderId="0" xfId="60" applyNumberFormat="1" applyFont="1" applyBorder="1" applyAlignment="1">
      <alignment horizontal="center"/>
      <protection/>
    </xf>
    <xf numFmtId="0" fontId="5" fillId="0" borderId="0" xfId="60" applyFont="1" applyAlignment="1">
      <alignment vertical="center"/>
      <protection/>
    </xf>
    <xf numFmtId="3" fontId="2" fillId="0" borderId="11" xfId="60" applyNumberFormat="1" applyFont="1" applyBorder="1" applyAlignment="1" applyProtection="1">
      <alignment horizontal="center" vertical="center"/>
      <protection hidden="1"/>
    </xf>
    <xf numFmtId="3" fontId="2" fillId="0" borderId="11" xfId="60" applyNumberFormat="1" applyFont="1" applyBorder="1" applyAlignment="1" applyProtection="1">
      <alignment vertical="center"/>
      <protection hidden="1"/>
    </xf>
    <xf numFmtId="3" fontId="2" fillId="0" borderId="11" xfId="60" applyNumberFormat="1" applyFont="1" applyFill="1" applyBorder="1" applyAlignment="1" applyProtection="1">
      <alignment horizontal="right" vertical="center"/>
      <protection hidden="1"/>
    </xf>
    <xf numFmtId="0" fontId="2" fillId="0" borderId="11" xfId="60" applyFont="1" applyBorder="1" applyAlignment="1">
      <alignment vertical="center"/>
      <protection/>
    </xf>
    <xf numFmtId="10" fontId="5" fillId="0" borderId="11" xfId="60" applyNumberFormat="1" applyFont="1" applyBorder="1" applyAlignment="1">
      <alignment vertical="center"/>
      <protection/>
    </xf>
    <xf numFmtId="3" fontId="2" fillId="0" borderId="11" xfId="60" applyNumberFormat="1" applyBorder="1" applyAlignment="1">
      <alignment vertical="center"/>
      <protection/>
    </xf>
    <xf numFmtId="0" fontId="2" fillId="0" borderId="0" xfId="60" applyAlignment="1">
      <alignment vertical="center"/>
      <protection/>
    </xf>
    <xf numFmtId="3" fontId="2" fillId="0" borderId="11" xfId="60" applyNumberFormat="1" applyFont="1" applyBorder="1" applyAlignment="1">
      <alignment vertical="center"/>
      <protection/>
    </xf>
    <xf numFmtId="1" fontId="2" fillId="0" borderId="0" xfId="60" applyNumberFormat="1" applyAlignment="1">
      <alignment horizontal="center" vertical="center"/>
      <protection/>
    </xf>
    <xf numFmtId="0" fontId="2" fillId="0" borderId="11" xfId="60" applyBorder="1" applyAlignment="1">
      <alignment vertical="center"/>
      <protection/>
    </xf>
    <xf numFmtId="3" fontId="2" fillId="0" borderId="11" xfId="60" applyNumberFormat="1" applyBorder="1" applyAlignment="1">
      <alignment horizontal="center" vertical="center"/>
      <protection/>
    </xf>
    <xf numFmtId="3" fontId="6" fillId="0" borderId="11" xfId="60" applyNumberFormat="1" applyFont="1" applyFill="1" applyBorder="1" applyAlignment="1" applyProtection="1">
      <alignment vertical="center"/>
      <protection locked="0"/>
    </xf>
    <xf numFmtId="3" fontId="5" fillId="49" borderId="11" xfId="60" applyNumberFormat="1" applyFont="1" applyFill="1" applyBorder="1" applyAlignment="1">
      <alignment vertical="center"/>
      <protection/>
    </xf>
    <xf numFmtId="10" fontId="5" fillId="49" borderId="11" xfId="60" applyNumberFormat="1" applyFont="1" applyFill="1" applyBorder="1" applyAlignment="1">
      <alignment vertical="center"/>
      <protection/>
    </xf>
    <xf numFmtId="3" fontId="2" fillId="0" borderId="0" xfId="60" applyNumberFormat="1" applyFont="1" applyAlignment="1">
      <alignment horizontal="center" vertical="center"/>
      <protection/>
    </xf>
    <xf numFmtId="3" fontId="2" fillId="0" borderId="0" xfId="60" applyNumberFormat="1" applyFont="1" applyAlignment="1">
      <alignment vertical="center"/>
      <protection/>
    </xf>
    <xf numFmtId="0" fontId="2" fillId="0" borderId="0" xfId="60" applyFont="1" applyAlignment="1">
      <alignment vertical="center"/>
      <protection/>
    </xf>
    <xf numFmtId="3" fontId="2" fillId="0" borderId="0" xfId="60" applyNumberFormat="1">
      <alignment/>
      <protection/>
    </xf>
    <xf numFmtId="3" fontId="6" fillId="0" borderId="0" xfId="60" applyNumberFormat="1" applyFont="1" applyBorder="1" applyAlignment="1">
      <alignment/>
      <protection/>
    </xf>
    <xf numFmtId="0" fontId="5" fillId="0" borderId="11" xfId="60" applyFont="1" applyBorder="1" applyAlignment="1">
      <alignment vertical="center"/>
      <protection/>
    </xf>
    <xf numFmtId="0" fontId="40" fillId="0" borderId="0" xfId="61" applyFont="1" applyAlignment="1">
      <alignment/>
      <protection/>
    </xf>
    <xf numFmtId="171" fontId="40" fillId="0" borderId="84" xfId="40" applyNumberFormat="1" applyFont="1" applyFill="1" applyBorder="1" applyAlignment="1">
      <alignment horizontal="center" vertical="center"/>
    </xf>
    <xf numFmtId="171" fontId="40" fillId="0" borderId="85" xfId="40" applyNumberFormat="1" applyFont="1" applyFill="1" applyBorder="1" applyAlignment="1">
      <alignment horizontal="left" vertical="center"/>
    </xf>
    <xf numFmtId="171" fontId="40" fillId="0" borderId="85" xfId="40" applyNumberFormat="1" applyFont="1" applyFill="1" applyBorder="1" applyAlignment="1">
      <alignment horizontal="left" vertical="center" wrapText="1"/>
    </xf>
    <xf numFmtId="171" fontId="40" fillId="0" borderId="85" xfId="40" applyNumberFormat="1" applyFont="1" applyBorder="1" applyAlignment="1">
      <alignment horizontal="right" vertical="center"/>
    </xf>
    <xf numFmtId="171" fontId="41" fillId="0" borderId="85" xfId="40" applyNumberFormat="1" applyFont="1" applyBorder="1" applyAlignment="1">
      <alignment vertical="center"/>
    </xf>
    <xf numFmtId="171" fontId="39" fillId="0" borderId="85" xfId="40" applyNumberFormat="1" applyFont="1" applyBorder="1" applyAlignment="1">
      <alignment vertical="center"/>
    </xf>
    <xf numFmtId="171" fontId="39" fillId="0" borderId="86" xfId="40" applyNumberFormat="1" applyFont="1" applyBorder="1" applyAlignment="1">
      <alignment vertical="center"/>
    </xf>
    <xf numFmtId="171" fontId="42" fillId="0" borderId="87" xfId="40" applyNumberFormat="1" applyFont="1" applyBorder="1" applyAlignment="1">
      <alignment vertical="center"/>
    </xf>
    <xf numFmtId="171" fontId="41" fillId="0" borderId="87" xfId="40" applyNumberFormat="1" applyFont="1" applyBorder="1" applyAlignment="1">
      <alignment vertical="center"/>
    </xf>
    <xf numFmtId="171" fontId="16" fillId="50" borderId="87" xfId="40" applyNumberFormat="1" applyFont="1" applyFill="1" applyBorder="1" applyAlignment="1">
      <alignment horizontal="right" vertical="center"/>
    </xf>
    <xf numFmtId="171" fontId="40" fillId="0" borderId="84" xfId="40" applyNumberFormat="1" applyFont="1" applyFill="1" applyBorder="1" applyAlignment="1">
      <alignment horizontal="left" vertical="center" wrapText="1"/>
    </xf>
    <xf numFmtId="171" fontId="16" fillId="0" borderId="87" xfId="40" applyNumberFormat="1" applyFont="1" applyFill="1" applyBorder="1" applyAlignment="1">
      <alignment horizontal="right" vertical="center"/>
    </xf>
    <xf numFmtId="171" fontId="40" fillId="0" borderId="84" xfId="40" applyNumberFormat="1" applyFont="1" applyBorder="1" applyAlignment="1">
      <alignment horizontal="right" vertical="center"/>
    </xf>
    <xf numFmtId="171" fontId="41" fillId="0" borderId="86" xfId="40" applyNumberFormat="1" applyFont="1" applyBorder="1" applyAlignment="1">
      <alignment vertical="center"/>
    </xf>
    <xf numFmtId="171" fontId="40" fillId="0" borderId="85" xfId="40" applyNumberFormat="1" applyFont="1" applyBorder="1" applyAlignment="1">
      <alignment horizontal="left" vertical="center"/>
    </xf>
    <xf numFmtId="171" fontId="40" fillId="0" borderId="85" xfId="40" applyNumberFormat="1" applyFont="1" applyBorder="1" applyAlignment="1">
      <alignment vertical="center"/>
    </xf>
    <xf numFmtId="171" fontId="40" fillId="0" borderId="86" xfId="40" applyNumberFormat="1" applyFont="1" applyBorder="1" applyAlignment="1">
      <alignment vertical="center"/>
    </xf>
    <xf numFmtId="171" fontId="16" fillId="50" borderId="87" xfId="40" applyNumberFormat="1" applyFont="1" applyFill="1" applyBorder="1" applyAlignment="1">
      <alignment vertical="center"/>
    </xf>
    <xf numFmtId="171" fontId="40" fillId="0" borderId="84" xfId="40" applyNumberFormat="1" applyFont="1" applyFill="1" applyBorder="1" applyAlignment="1">
      <alignment vertical="center"/>
    </xf>
    <xf numFmtId="171" fontId="40" fillId="0" borderId="85" xfId="40" applyNumberFormat="1" applyFont="1" applyFill="1" applyBorder="1" applyAlignment="1">
      <alignment vertical="center"/>
    </xf>
    <xf numFmtId="171" fontId="40" fillId="0" borderId="85" xfId="40" applyNumberFormat="1" applyFont="1" applyFill="1" applyBorder="1" applyAlignment="1">
      <alignment horizontal="center" vertical="center"/>
    </xf>
    <xf numFmtId="171" fontId="16" fillId="0" borderId="85" xfId="40" applyNumberFormat="1" applyFont="1" applyFill="1" applyBorder="1" applyAlignment="1">
      <alignment vertical="center"/>
    </xf>
    <xf numFmtId="171" fontId="16" fillId="0" borderId="86" xfId="40" applyNumberFormat="1" applyFont="1" applyFill="1" applyBorder="1" applyAlignment="1">
      <alignment vertical="center"/>
    </xf>
    <xf numFmtId="171" fontId="16" fillId="0" borderId="87" xfId="4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16" fillId="50" borderId="88" xfId="40" applyNumberFormat="1" applyFont="1" applyFill="1" applyBorder="1" applyAlignment="1">
      <alignment vertical="center"/>
    </xf>
    <xf numFmtId="171" fontId="16" fillId="50" borderId="89" xfId="40" applyNumberFormat="1" applyFont="1" applyFill="1" applyBorder="1" applyAlignment="1">
      <alignment vertical="center"/>
    </xf>
    <xf numFmtId="171" fontId="40" fillId="0" borderId="85" xfId="40" applyNumberFormat="1" applyFont="1" applyFill="1" applyBorder="1" applyAlignment="1">
      <alignment horizontal="left" vertical="top"/>
    </xf>
    <xf numFmtId="171" fontId="38" fillId="49" borderId="90" xfId="40" applyNumberFormat="1" applyFont="1" applyFill="1" applyBorder="1" applyAlignment="1">
      <alignment horizontal="center" vertical="center" wrapText="1"/>
    </xf>
    <xf numFmtId="171" fontId="38" fillId="49" borderId="91" xfId="40" applyNumberFormat="1" applyFont="1" applyFill="1" applyBorder="1" applyAlignment="1">
      <alignment horizontal="center" vertical="center" wrapText="1"/>
    </xf>
    <xf numFmtId="171" fontId="16" fillId="49" borderId="92" xfId="40" applyNumberFormat="1" applyFont="1" applyFill="1" applyBorder="1" applyAlignment="1">
      <alignment vertical="center" wrapText="1"/>
    </xf>
    <xf numFmtId="171" fontId="16" fillId="49" borderId="93" xfId="40" applyNumberFormat="1" applyFont="1" applyFill="1" applyBorder="1" applyAlignment="1">
      <alignment horizontal="center" vertical="center" wrapText="1"/>
    </xf>
    <xf numFmtId="171" fontId="16" fillId="49" borderId="94" xfId="40" applyNumberFormat="1" applyFont="1" applyFill="1" applyBorder="1" applyAlignment="1">
      <alignment horizontal="center" vertical="center" wrapText="1"/>
    </xf>
    <xf numFmtId="171" fontId="16" fillId="49" borderId="92" xfId="40" applyNumberFormat="1" applyFont="1" applyFill="1" applyBorder="1" applyAlignment="1">
      <alignment horizontal="center" vertical="center" wrapText="1"/>
    </xf>
    <xf numFmtId="170" fontId="43" fillId="0" borderId="87" xfId="40" applyNumberFormat="1" applyFont="1" applyBorder="1" applyAlignment="1">
      <alignment vertical="center"/>
    </xf>
    <xf numFmtId="170" fontId="42" fillId="0" borderId="87" xfId="40" applyNumberFormat="1" applyFont="1" applyFill="1" applyBorder="1" applyAlignment="1">
      <alignment vertical="center"/>
    </xf>
    <xf numFmtId="171" fontId="16" fillId="51" borderId="87" xfId="40" applyNumberFormat="1" applyFont="1" applyFill="1" applyBorder="1" applyAlignment="1">
      <alignment horizontal="right" vertical="center"/>
    </xf>
    <xf numFmtId="170" fontId="42" fillId="51" borderId="87" xfId="40" applyNumberFormat="1" applyFont="1" applyFill="1" applyBorder="1" applyAlignment="1">
      <alignment vertical="center"/>
    </xf>
    <xf numFmtId="171" fontId="40" fillId="51" borderId="87" xfId="40" applyNumberFormat="1" applyFont="1" applyFill="1" applyBorder="1" applyAlignment="1">
      <alignment vertical="center"/>
    </xf>
    <xf numFmtId="171" fontId="16" fillId="19" borderId="87" xfId="40" applyNumberFormat="1" applyFont="1" applyFill="1" applyBorder="1" applyAlignment="1">
      <alignment horizontal="right" vertical="center"/>
    </xf>
    <xf numFmtId="170" fontId="42" fillId="19" borderId="87" xfId="4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171" fontId="16" fillId="0" borderId="88" xfId="4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71" fontId="16" fillId="0" borderId="88" xfId="40" applyNumberFormat="1" applyFont="1" applyFill="1" applyBorder="1" applyAlignment="1">
      <alignment horizontal="left" vertical="center"/>
    </xf>
    <xf numFmtId="171" fontId="16" fillId="0" borderId="89" xfId="40" applyNumberFormat="1" applyFont="1" applyFill="1" applyBorder="1" applyAlignment="1">
      <alignment horizontal="left" vertical="center"/>
    </xf>
    <xf numFmtId="171" fontId="16" fillId="0" borderId="89" xfId="40" applyNumberFormat="1" applyFont="1" applyFill="1" applyBorder="1" applyAlignment="1">
      <alignment horizontal="left" vertical="center" wrapText="1"/>
    </xf>
    <xf numFmtId="171" fontId="40" fillId="0" borderId="87" xfId="40" applyNumberFormat="1" applyFont="1" applyFill="1" applyBorder="1" applyAlignment="1">
      <alignment vertical="center"/>
    </xf>
    <xf numFmtId="0" fontId="29" fillId="49" borderId="95" xfId="59" applyFont="1" applyFill="1" applyBorder="1" applyAlignment="1">
      <alignment horizontal="center" vertical="center" wrapText="1"/>
      <protection/>
    </xf>
    <xf numFmtId="0" fontId="29" fillId="49" borderId="96" xfId="59" applyFont="1" applyFill="1" applyBorder="1" applyAlignment="1">
      <alignment horizontal="center" vertical="center" wrapText="1"/>
      <protection/>
    </xf>
    <xf numFmtId="0" fontId="45" fillId="0" borderId="84" xfId="59" applyFont="1" applyFill="1" applyBorder="1" applyAlignment="1">
      <alignment horizontal="center" vertical="center" wrapText="1"/>
      <protection/>
    </xf>
    <xf numFmtId="0" fontId="45" fillId="0" borderId="85" xfId="59" applyFont="1" applyFill="1" applyBorder="1" applyAlignment="1">
      <alignment horizontal="center" vertical="center" wrapText="1"/>
      <protection/>
    </xf>
    <xf numFmtId="0" fontId="46" fillId="0" borderId="85" xfId="59" applyFont="1" applyFill="1" applyBorder="1" applyAlignment="1">
      <alignment horizontal="left" vertical="center" wrapText="1"/>
      <protection/>
    </xf>
    <xf numFmtId="0" fontId="46" fillId="0" borderId="85" xfId="59" applyFont="1" applyFill="1" applyBorder="1" applyAlignment="1">
      <alignment horizontal="right" vertical="center" wrapText="1"/>
      <protection/>
    </xf>
    <xf numFmtId="3" fontId="29" fillId="0" borderId="85" xfId="59" applyNumberFormat="1" applyFont="1" applyFill="1" applyBorder="1" applyAlignment="1">
      <alignment horizontal="right" vertical="center" wrapText="1"/>
      <protection/>
    </xf>
    <xf numFmtId="170" fontId="29" fillId="0" borderId="85" xfId="59" applyNumberFormat="1" applyFont="1" applyFill="1" applyBorder="1" applyAlignment="1">
      <alignment horizontal="right" vertical="center" wrapText="1"/>
      <protection/>
    </xf>
    <xf numFmtId="0" fontId="46" fillId="0" borderId="85" xfId="61" applyFont="1" applyFill="1" applyBorder="1" applyAlignment="1">
      <alignment vertical="center" wrapText="1"/>
      <protection/>
    </xf>
    <xf numFmtId="0" fontId="46" fillId="0" borderId="84" xfId="59" applyFont="1" applyFill="1" applyBorder="1" applyAlignment="1">
      <alignment horizontal="left" vertical="center" wrapText="1"/>
      <protection/>
    </xf>
    <xf numFmtId="0" fontId="29" fillId="0" borderId="85" xfId="59" applyFont="1" applyFill="1" applyBorder="1" applyAlignment="1">
      <alignment horizontal="right" vertical="center" wrapText="1"/>
      <protection/>
    </xf>
    <xf numFmtId="0" fontId="29" fillId="0" borderId="89" xfId="59" applyFont="1" applyFill="1" applyBorder="1" applyAlignment="1">
      <alignment horizontal="left" vertical="center" wrapText="1"/>
      <protection/>
    </xf>
    <xf numFmtId="0" fontId="29" fillId="52" borderId="84" xfId="59" applyFont="1" applyFill="1" applyBorder="1" applyAlignment="1">
      <alignment horizontal="center" vertical="center" wrapText="1"/>
      <protection/>
    </xf>
    <xf numFmtId="0" fontId="29" fillId="52" borderId="85" xfId="59" applyFont="1" applyFill="1" applyBorder="1" applyAlignment="1">
      <alignment horizontal="center" vertical="center" wrapText="1"/>
      <protection/>
    </xf>
    <xf numFmtId="0" fontId="29" fillId="52" borderId="85" xfId="59" applyFont="1" applyFill="1" applyBorder="1" applyAlignment="1">
      <alignment horizontal="left" vertical="center" wrapText="1"/>
      <protection/>
    </xf>
    <xf numFmtId="3" fontId="29" fillId="52" borderId="85" xfId="59" applyNumberFormat="1" applyFont="1" applyFill="1" applyBorder="1" applyAlignment="1">
      <alignment horizontal="right" vertical="center" wrapText="1"/>
      <protection/>
    </xf>
    <xf numFmtId="170" fontId="29" fillId="52" borderId="85" xfId="59" applyNumberFormat="1" applyFont="1" applyFill="1" applyBorder="1" applyAlignment="1">
      <alignment horizontal="right" vertical="center" wrapText="1"/>
      <protection/>
    </xf>
    <xf numFmtId="0" fontId="29" fillId="53" borderId="84" xfId="59" applyFont="1" applyFill="1" applyBorder="1" applyAlignment="1">
      <alignment horizontal="center" vertical="center" wrapText="1"/>
      <protection/>
    </xf>
    <xf numFmtId="0" fontId="29" fillId="53" borderId="85" xfId="59" applyFont="1" applyFill="1" applyBorder="1" applyAlignment="1">
      <alignment horizontal="center" vertical="center" wrapText="1"/>
      <protection/>
    </xf>
    <xf numFmtId="0" fontId="29" fillId="53" borderId="85" xfId="59" applyFont="1" applyFill="1" applyBorder="1" applyAlignment="1">
      <alignment horizontal="left" vertical="center" wrapText="1"/>
      <protection/>
    </xf>
    <xf numFmtId="3" fontId="29" fillId="53" borderId="85" xfId="59" applyNumberFormat="1" applyFont="1" applyFill="1" applyBorder="1" applyAlignment="1">
      <alignment horizontal="right" vertical="center" wrapText="1"/>
      <protection/>
    </xf>
    <xf numFmtId="170" fontId="29" fillId="53" borderId="85" xfId="59" applyNumberFormat="1" applyFont="1" applyFill="1" applyBorder="1" applyAlignment="1">
      <alignment horizontal="right" vertical="center" wrapText="1"/>
      <protection/>
    </xf>
    <xf numFmtId="0" fontId="28" fillId="53" borderId="84" xfId="59" applyFont="1" applyFill="1" applyBorder="1" applyAlignment="1">
      <alignment horizontal="center" vertical="center" wrapText="1"/>
      <protection/>
    </xf>
    <xf numFmtId="0" fontId="28" fillId="53" borderId="85" xfId="59" applyFont="1" applyFill="1" applyBorder="1" applyAlignment="1">
      <alignment horizontal="center" vertical="center" wrapText="1"/>
      <protection/>
    </xf>
    <xf numFmtId="0" fontId="28" fillId="53" borderId="85" xfId="59" applyFont="1" applyFill="1" applyBorder="1" applyAlignment="1">
      <alignment horizontal="left" vertical="center" wrapText="1"/>
      <protection/>
    </xf>
    <xf numFmtId="3" fontId="28" fillId="53" borderId="85" xfId="59" applyNumberFormat="1" applyFont="1" applyFill="1" applyBorder="1" applyAlignment="1">
      <alignment horizontal="right" vertical="center" wrapText="1"/>
      <protection/>
    </xf>
    <xf numFmtId="170" fontId="28" fillId="53" borderId="85" xfId="59" applyNumberFormat="1" applyFont="1" applyFill="1" applyBorder="1" applyAlignment="1">
      <alignment horizontal="right" vertical="center" wrapText="1"/>
      <protection/>
    </xf>
    <xf numFmtId="0" fontId="48" fillId="53" borderId="84" xfId="59" applyFont="1" applyFill="1" applyBorder="1" applyAlignment="1">
      <alignment horizontal="center" vertical="center" wrapText="1"/>
      <protection/>
    </xf>
    <xf numFmtId="0" fontId="48" fillId="53" borderId="85" xfId="59" applyFont="1" applyFill="1" applyBorder="1" applyAlignment="1">
      <alignment horizontal="center" vertical="center" wrapText="1"/>
      <protection/>
    </xf>
    <xf numFmtId="3" fontId="48" fillId="53" borderId="85" xfId="59" applyNumberFormat="1" applyFont="1" applyFill="1" applyBorder="1" applyAlignment="1">
      <alignment horizontal="right" vertical="center" wrapText="1"/>
      <protection/>
    </xf>
    <xf numFmtId="1" fontId="28" fillId="53" borderId="85" xfId="42" applyNumberFormat="1" applyFont="1" applyFill="1" applyBorder="1" applyAlignment="1">
      <alignment horizontal="right" vertical="center" wrapText="1"/>
    </xf>
    <xf numFmtId="3" fontId="28" fillId="10" borderId="85" xfId="59" applyNumberFormat="1" applyFont="1" applyFill="1" applyBorder="1" applyAlignment="1">
      <alignment horizontal="right" vertical="center" wrapText="1"/>
      <protection/>
    </xf>
    <xf numFmtId="170" fontId="28" fillId="10" borderId="85" xfId="59" applyNumberFormat="1" applyFont="1" applyFill="1" applyBorder="1" applyAlignment="1">
      <alignment horizontal="right" vertical="center" wrapText="1"/>
      <protection/>
    </xf>
    <xf numFmtId="0" fontId="47" fillId="52" borderId="84" xfId="59" applyFont="1" applyFill="1" applyBorder="1" applyAlignment="1">
      <alignment horizontal="center" vertical="center" wrapText="1"/>
      <protection/>
    </xf>
    <xf numFmtId="0" fontId="47" fillId="52" borderId="85" xfId="59" applyFont="1" applyFill="1" applyBorder="1" applyAlignment="1">
      <alignment horizontal="center" vertical="center" wrapText="1"/>
      <protection/>
    </xf>
    <xf numFmtId="3" fontId="49" fillId="10" borderId="85" xfId="59" applyNumberFormat="1" applyFont="1" applyFill="1" applyBorder="1" applyAlignment="1">
      <alignment horizontal="right" vertical="center" wrapText="1"/>
      <protection/>
    </xf>
    <xf numFmtId="170" fontId="49" fillId="10" borderId="85" xfId="59" applyNumberFormat="1" applyFont="1" applyFill="1" applyBorder="1" applyAlignment="1">
      <alignment horizontal="right" vertical="center" wrapText="1"/>
      <protection/>
    </xf>
    <xf numFmtId="0" fontId="50" fillId="0" borderId="0" xfId="60" applyFont="1" applyAlignment="1">
      <alignment horizontal="right"/>
      <protection/>
    </xf>
    <xf numFmtId="0" fontId="6" fillId="0" borderId="0" xfId="60" applyFont="1">
      <alignment/>
      <protection/>
    </xf>
    <xf numFmtId="0" fontId="6" fillId="0" borderId="0" xfId="60" applyFont="1" applyAlignment="1">
      <alignment/>
      <protection/>
    </xf>
    <xf numFmtId="0" fontId="6" fillId="0" borderId="0" xfId="60" applyFont="1" applyAlignment="1">
      <alignment vertical="center"/>
      <protection/>
    </xf>
    <xf numFmtId="0" fontId="16" fillId="0" borderId="97" xfId="60" applyFont="1" applyBorder="1" applyAlignment="1">
      <alignment horizontal="center" vertical="center" wrapText="1"/>
      <protection/>
    </xf>
    <xf numFmtId="0" fontId="16" fillId="0" borderId="98" xfId="60" applyFont="1" applyBorder="1" applyAlignment="1">
      <alignment horizontal="center" vertical="center" wrapText="1"/>
      <protection/>
    </xf>
    <xf numFmtId="0" fontId="40" fillId="0" borderId="0" xfId="60" applyFont="1" applyAlignment="1">
      <alignment horizontal="center" vertical="center" wrapText="1"/>
      <protection/>
    </xf>
    <xf numFmtId="0" fontId="6" fillId="0" borderId="0" xfId="60" applyFont="1" applyAlignment="1">
      <alignment horizontal="center" vertical="center" wrapText="1"/>
      <protection/>
    </xf>
    <xf numFmtId="0" fontId="16" fillId="36" borderId="99" xfId="60" applyFont="1" applyFill="1" applyBorder="1" applyAlignment="1">
      <alignment/>
      <protection/>
    </xf>
    <xf numFmtId="0" fontId="16" fillId="36" borderId="100" xfId="60" applyFont="1" applyFill="1" applyBorder="1" applyAlignment="1">
      <alignment/>
      <protection/>
    </xf>
    <xf numFmtId="0" fontId="40" fillId="0" borderId="0" xfId="60" applyFont="1">
      <alignment/>
      <protection/>
    </xf>
    <xf numFmtId="0" fontId="40" fillId="0" borderId="99" xfId="60" applyFont="1" applyBorder="1">
      <alignment/>
      <protection/>
    </xf>
    <xf numFmtId="3" fontId="40" fillId="54" borderId="100" xfId="60" applyNumberFormat="1" applyFont="1" applyFill="1" applyBorder="1" applyAlignment="1">
      <alignment/>
      <protection/>
    </xf>
    <xf numFmtId="0" fontId="40" fillId="0" borderId="0" xfId="60" applyFont="1" applyFill="1">
      <alignment/>
      <protection/>
    </xf>
    <xf numFmtId="0" fontId="6" fillId="22" borderId="0" xfId="60" applyFont="1" applyFill="1">
      <alignment/>
      <protection/>
    </xf>
    <xf numFmtId="0" fontId="40" fillId="0" borderId="101" xfId="60" applyFont="1" applyBorder="1">
      <alignment/>
      <protection/>
    </xf>
    <xf numFmtId="3" fontId="40" fillId="54" borderId="102" xfId="60" applyNumberFormat="1" applyFont="1" applyFill="1" applyBorder="1" applyAlignment="1">
      <alignment/>
      <protection/>
    </xf>
    <xf numFmtId="0" fontId="6" fillId="55" borderId="44" xfId="60" applyFont="1" applyFill="1" applyBorder="1">
      <alignment/>
      <protection/>
    </xf>
    <xf numFmtId="3" fontId="6" fillId="22" borderId="45" xfId="60" applyNumberFormat="1" applyFont="1" applyFill="1" applyBorder="1">
      <alignment/>
      <protection/>
    </xf>
    <xf numFmtId="0" fontId="40" fillId="0" borderId="103" xfId="60" applyFont="1" applyBorder="1">
      <alignment/>
      <protection/>
    </xf>
    <xf numFmtId="3" fontId="40" fillId="54" borderId="104" xfId="60" applyNumberFormat="1" applyFont="1" applyFill="1" applyBorder="1" applyAlignment="1">
      <alignment/>
      <protection/>
    </xf>
    <xf numFmtId="0" fontId="40" fillId="0" borderId="105" xfId="60" applyFont="1" applyBorder="1">
      <alignment/>
      <protection/>
    </xf>
    <xf numFmtId="0" fontId="40" fillId="52" borderId="22" xfId="60" applyFont="1" applyFill="1" applyBorder="1">
      <alignment/>
      <protection/>
    </xf>
    <xf numFmtId="0" fontId="9" fillId="56" borderId="53" xfId="60" applyFont="1" applyFill="1" applyBorder="1" applyAlignment="1">
      <alignment/>
      <protection/>
    </xf>
    <xf numFmtId="3" fontId="42" fillId="56" borderId="106" xfId="60" applyNumberFormat="1" applyFont="1" applyFill="1" applyBorder="1" applyAlignment="1" applyProtection="1">
      <alignment/>
      <protection hidden="1"/>
    </xf>
    <xf numFmtId="0" fontId="40" fillId="0" borderId="22" xfId="60" applyFont="1" applyFill="1" applyBorder="1">
      <alignment/>
      <protection/>
    </xf>
    <xf numFmtId="0" fontId="40" fillId="0" borderId="44" xfId="60" applyFont="1" applyBorder="1" applyAlignment="1">
      <alignment vertical="center"/>
      <protection/>
    </xf>
    <xf numFmtId="3" fontId="40" fillId="54" borderId="45" xfId="60" applyNumberFormat="1" applyFont="1" applyFill="1" applyBorder="1" applyAlignment="1">
      <alignment/>
      <protection/>
    </xf>
    <xf numFmtId="0" fontId="6" fillId="0" borderId="0" xfId="60" applyFont="1" applyFill="1">
      <alignment/>
      <protection/>
    </xf>
    <xf numFmtId="0" fontId="9" fillId="56" borderId="53" xfId="60" applyFont="1" applyFill="1" applyBorder="1" applyAlignment="1">
      <alignment wrapText="1"/>
      <protection/>
    </xf>
    <xf numFmtId="0" fontId="40" fillId="0" borderId="12" xfId="60" applyFont="1" applyBorder="1">
      <alignment/>
      <protection/>
    </xf>
    <xf numFmtId="0" fontId="16" fillId="57" borderId="90" xfId="60" applyFont="1" applyFill="1" applyBorder="1" applyAlignment="1">
      <alignment wrapText="1"/>
      <protection/>
    </xf>
    <xf numFmtId="0" fontId="40" fillId="57" borderId="107" xfId="60" applyFont="1" applyFill="1" applyBorder="1">
      <alignment/>
      <protection/>
    </xf>
    <xf numFmtId="0" fontId="40" fillId="57" borderId="108" xfId="60" applyFont="1" applyFill="1" applyBorder="1">
      <alignment/>
      <protection/>
    </xf>
    <xf numFmtId="3" fontId="16" fillId="57" borderId="92" xfId="60" applyNumberFormat="1" applyFont="1" applyFill="1" applyBorder="1" applyAlignment="1" applyProtection="1">
      <alignment/>
      <protection hidden="1"/>
    </xf>
    <xf numFmtId="0" fontId="16" fillId="0" borderId="42" xfId="60" applyFont="1" applyFill="1" applyBorder="1" applyAlignment="1">
      <alignment wrapText="1"/>
      <protection/>
    </xf>
    <xf numFmtId="3" fontId="16" fillId="0" borderId="0" xfId="60" applyNumberFormat="1" applyFont="1" applyFill="1" applyBorder="1" applyAlignment="1" applyProtection="1">
      <alignment/>
      <protection hidden="1"/>
    </xf>
    <xf numFmtId="0" fontId="16" fillId="36" borderId="97" xfId="60" applyFont="1" applyFill="1" applyBorder="1" applyAlignment="1">
      <alignment/>
      <protection/>
    </xf>
    <xf numFmtId="0" fontId="16" fillId="36" borderId="98" xfId="60" applyFont="1" applyFill="1" applyBorder="1" applyAlignment="1">
      <alignment/>
      <protection/>
    </xf>
    <xf numFmtId="0" fontId="40" fillId="0" borderId="99" xfId="60" applyFont="1" applyBorder="1" applyAlignment="1">
      <alignment/>
      <protection/>
    </xf>
    <xf numFmtId="0" fontId="10" fillId="0" borderId="0" xfId="60" applyFont="1">
      <alignment/>
      <protection/>
    </xf>
    <xf numFmtId="0" fontId="16" fillId="0" borderId="22" xfId="60" applyFont="1" applyBorder="1">
      <alignment/>
      <protection/>
    </xf>
    <xf numFmtId="0" fontId="40" fillId="0" borderId="22" xfId="60" applyFont="1" applyBorder="1">
      <alignment/>
      <protection/>
    </xf>
    <xf numFmtId="0" fontId="40" fillId="0" borderId="101" xfId="60" applyFont="1" applyBorder="1" applyAlignment="1">
      <alignment/>
      <protection/>
    </xf>
    <xf numFmtId="0" fontId="40" fillId="0" borderId="99" xfId="60" applyFont="1" applyFill="1" applyBorder="1">
      <alignment/>
      <protection/>
    </xf>
    <xf numFmtId="3" fontId="16" fillId="33" borderId="11" xfId="60" applyNumberFormat="1" applyFont="1" applyFill="1" applyBorder="1" applyAlignment="1" applyProtection="1">
      <alignment/>
      <protection hidden="1"/>
    </xf>
    <xf numFmtId="0" fontId="16" fillId="0" borderId="0" xfId="60" applyFont="1" applyFill="1" applyBorder="1" applyAlignment="1">
      <alignment wrapText="1"/>
      <protection/>
    </xf>
    <xf numFmtId="0" fontId="40" fillId="0" borderId="0" xfId="60" applyFont="1" applyFill="1" applyBorder="1">
      <alignment/>
      <protection/>
    </xf>
    <xf numFmtId="3" fontId="16" fillId="33" borderId="11" xfId="60" applyNumberFormat="1" applyFont="1" applyFill="1" applyBorder="1" applyAlignment="1" applyProtection="1">
      <alignment wrapText="1"/>
      <protection hidden="1"/>
    </xf>
    <xf numFmtId="0" fontId="40" fillId="0" borderId="11" xfId="60" applyFont="1" applyBorder="1">
      <alignment/>
      <protection/>
    </xf>
    <xf numFmtId="0" fontId="51" fillId="0" borderId="0" xfId="60" applyFont="1" applyFill="1" applyBorder="1" applyAlignment="1">
      <alignment horizontal="left"/>
      <protection/>
    </xf>
    <xf numFmtId="0" fontId="17" fillId="0" borderId="0" xfId="60" applyFont="1">
      <alignment/>
      <protection/>
    </xf>
    <xf numFmtId="0" fontId="52" fillId="0" borderId="0" xfId="60" applyFont="1" applyFill="1" applyBorder="1" applyAlignment="1">
      <alignment vertical="center" wrapText="1"/>
      <protection/>
    </xf>
    <xf numFmtId="3" fontId="52" fillId="0" borderId="0" xfId="60" applyNumberFormat="1" applyFont="1" applyFill="1" applyBorder="1" applyProtection="1">
      <alignment/>
      <protection hidden="1"/>
    </xf>
    <xf numFmtId="0" fontId="51" fillId="0" borderId="0" xfId="60" applyFont="1" applyFill="1" applyBorder="1" applyAlignment="1">
      <alignment wrapText="1"/>
      <protection/>
    </xf>
    <xf numFmtId="0" fontId="52" fillId="0" borderId="0" xfId="60" applyFont="1" applyFill="1" applyBorder="1">
      <alignment/>
      <protection/>
    </xf>
    <xf numFmtId="0" fontId="53" fillId="0" borderId="0" xfId="60" applyFont="1" applyFill="1" applyBorder="1">
      <alignment/>
      <protection/>
    </xf>
    <xf numFmtId="0" fontId="51" fillId="0" borderId="0" xfId="60" applyFont="1" applyFill="1" applyBorder="1">
      <alignment/>
      <protection/>
    </xf>
    <xf numFmtId="0" fontId="54" fillId="0" borderId="0" xfId="60" applyFont="1" applyFill="1" applyBorder="1" applyAlignment="1">
      <alignment horizontal="left"/>
      <protection/>
    </xf>
    <xf numFmtId="3" fontId="51" fillId="0" borderId="0" xfId="60" applyNumberFormat="1" applyFont="1" applyFill="1" applyBorder="1" applyProtection="1">
      <alignment/>
      <protection hidden="1"/>
    </xf>
    <xf numFmtId="0" fontId="51" fillId="0" borderId="0" xfId="60" applyFont="1" applyFill="1" applyBorder="1" applyAlignment="1">
      <alignment/>
      <protection/>
    </xf>
    <xf numFmtId="3" fontId="51" fillId="0" borderId="0" xfId="60" applyNumberFormat="1" applyFont="1" applyFill="1" applyBorder="1">
      <alignment/>
      <protection/>
    </xf>
    <xf numFmtId="0" fontId="17" fillId="0" borderId="0" xfId="60" applyFont="1" applyAlignment="1">
      <alignment vertical="center"/>
      <protection/>
    </xf>
    <xf numFmtId="0" fontId="35" fillId="0" borderId="0" xfId="60" applyFont="1">
      <alignment/>
      <protection/>
    </xf>
    <xf numFmtId="0" fontId="6" fillId="0" borderId="0" xfId="60" applyFont="1" applyBorder="1">
      <alignment/>
      <protection/>
    </xf>
    <xf numFmtId="0" fontId="6" fillId="0" borderId="0" xfId="60" applyFont="1" applyAlignment="1">
      <alignment horizontal="left"/>
      <protection/>
    </xf>
    <xf numFmtId="0" fontId="16" fillId="36" borderId="0" xfId="60" applyFont="1" applyFill="1" applyBorder="1" applyAlignment="1">
      <alignment/>
      <protection/>
    </xf>
    <xf numFmtId="170" fontId="40" fillId="54" borderId="100" xfId="60" applyNumberFormat="1" applyFont="1" applyFill="1" applyBorder="1" applyAlignment="1">
      <alignment/>
      <protection/>
    </xf>
    <xf numFmtId="170" fontId="40" fillId="58" borderId="100" xfId="60" applyNumberFormat="1" applyFont="1" applyFill="1" applyBorder="1" applyAlignment="1">
      <alignment/>
      <protection/>
    </xf>
    <xf numFmtId="170" fontId="40" fillId="59" borderId="100" xfId="60" applyNumberFormat="1" applyFont="1" applyFill="1" applyBorder="1" applyAlignment="1">
      <alignment/>
      <protection/>
    </xf>
    <xf numFmtId="3" fontId="16" fillId="16" borderId="92" xfId="60" applyNumberFormat="1" applyFont="1" applyFill="1" applyBorder="1" applyAlignment="1" applyProtection="1">
      <alignment/>
      <protection hidden="1"/>
    </xf>
    <xf numFmtId="3" fontId="42" fillId="60" borderId="45" xfId="60" applyNumberFormat="1" applyFont="1" applyFill="1" applyBorder="1" applyAlignment="1" applyProtection="1">
      <alignment/>
      <protection hidden="1"/>
    </xf>
    <xf numFmtId="3" fontId="42" fillId="61" borderId="106" xfId="60" applyNumberFormat="1" applyFont="1" applyFill="1" applyBorder="1" applyAlignment="1" applyProtection="1">
      <alignment/>
      <protection hidden="1"/>
    </xf>
    <xf numFmtId="0" fontId="9" fillId="61" borderId="99" xfId="60" applyFont="1" applyFill="1" applyBorder="1">
      <alignment/>
      <protection/>
    </xf>
    <xf numFmtId="0" fontId="9" fillId="61" borderId="53" xfId="60" applyFont="1" applyFill="1" applyBorder="1" applyAlignment="1">
      <alignment wrapText="1"/>
      <protection/>
    </xf>
    <xf numFmtId="0" fontId="16" fillId="16" borderId="90" xfId="60" applyFont="1" applyFill="1" applyBorder="1" applyAlignment="1">
      <alignment wrapText="1"/>
      <protection/>
    </xf>
    <xf numFmtId="0" fontId="40" fillId="0" borderId="25" xfId="60" applyFont="1" applyFill="1" applyBorder="1">
      <alignment/>
      <protection/>
    </xf>
    <xf numFmtId="0" fontId="40" fillId="0" borderId="24" xfId="60" applyFont="1" applyFill="1" applyBorder="1">
      <alignment/>
      <protection/>
    </xf>
    <xf numFmtId="0" fontId="16" fillId="36" borderId="11" xfId="60" applyFont="1" applyFill="1" applyBorder="1" applyAlignment="1">
      <alignment horizontal="left"/>
      <protection/>
    </xf>
    <xf numFmtId="0" fontId="9" fillId="61" borderId="44" xfId="60" applyFont="1" applyFill="1" applyBorder="1" applyAlignment="1">
      <alignment/>
      <protection/>
    </xf>
    <xf numFmtId="0" fontId="16" fillId="2" borderId="11" xfId="60" applyFont="1" applyFill="1" applyBorder="1">
      <alignment/>
      <protection/>
    </xf>
    <xf numFmtId="3" fontId="42" fillId="61" borderId="45" xfId="60" applyNumberFormat="1" applyFont="1" applyFill="1" applyBorder="1" applyAlignment="1" applyProtection="1">
      <alignment/>
      <protection hidden="1"/>
    </xf>
    <xf numFmtId="0" fontId="40" fillId="2" borderId="12" xfId="60" applyFont="1" applyFill="1" applyBorder="1">
      <alignment/>
      <protection/>
    </xf>
    <xf numFmtId="0" fontId="40" fillId="16" borderId="109" xfId="60" applyFont="1" applyFill="1" applyBorder="1">
      <alignment/>
      <protection/>
    </xf>
    <xf numFmtId="3" fontId="40" fillId="54" borderId="26" xfId="60" applyNumberFormat="1" applyFont="1" applyFill="1" applyBorder="1" applyAlignment="1">
      <alignment/>
      <protection/>
    </xf>
    <xf numFmtId="3" fontId="40" fillId="54" borderId="37" xfId="60" applyNumberFormat="1" applyFont="1" applyFill="1" applyBorder="1" applyAlignment="1">
      <alignment/>
      <protection/>
    </xf>
    <xf numFmtId="3" fontId="42" fillId="61" borderId="35" xfId="60" applyNumberFormat="1" applyFont="1" applyFill="1" applyBorder="1" applyAlignment="1" applyProtection="1">
      <alignment/>
      <protection hidden="1"/>
    </xf>
    <xf numFmtId="3" fontId="42" fillId="61" borderId="33" xfId="60" applyNumberFormat="1" applyFont="1" applyFill="1" applyBorder="1" applyAlignment="1" applyProtection="1">
      <alignment/>
      <protection hidden="1"/>
    </xf>
    <xf numFmtId="3" fontId="16" fillId="16" borderId="91" xfId="60" applyNumberFormat="1" applyFont="1" applyFill="1" applyBorder="1" applyAlignment="1" applyProtection="1">
      <alignment/>
      <protection hidden="1"/>
    </xf>
    <xf numFmtId="170" fontId="40" fillId="54" borderId="110" xfId="60" applyNumberFormat="1" applyFont="1" applyFill="1" applyBorder="1" applyAlignment="1">
      <alignment/>
      <protection/>
    </xf>
    <xf numFmtId="170" fontId="40" fillId="54" borderId="111" xfId="60" applyNumberFormat="1" applyFont="1" applyFill="1" applyBorder="1" applyAlignment="1">
      <alignment/>
      <protection/>
    </xf>
    <xf numFmtId="170" fontId="40" fillId="58" borderId="111" xfId="60" applyNumberFormat="1" applyFont="1" applyFill="1" applyBorder="1" applyAlignment="1">
      <alignment/>
      <protection/>
    </xf>
    <xf numFmtId="170" fontId="40" fillId="59" borderId="111" xfId="60" applyNumberFormat="1" applyFont="1" applyFill="1" applyBorder="1" applyAlignment="1">
      <alignment/>
      <protection/>
    </xf>
    <xf numFmtId="3" fontId="40" fillId="54" borderId="11" xfId="60" applyNumberFormat="1" applyFont="1" applyFill="1" applyBorder="1" applyAlignment="1">
      <alignment/>
      <protection/>
    </xf>
    <xf numFmtId="170" fontId="16" fillId="33" borderId="11" xfId="60" applyNumberFormat="1" applyFont="1" applyFill="1" applyBorder="1" applyAlignment="1" applyProtection="1">
      <alignment/>
      <protection hidden="1"/>
    </xf>
    <xf numFmtId="0" fontId="9" fillId="61" borderId="53" xfId="60" applyFont="1" applyFill="1" applyBorder="1" applyAlignment="1">
      <alignment/>
      <protection/>
    </xf>
    <xf numFmtId="0" fontId="56" fillId="0" borderId="0" xfId="61" applyFont="1" applyAlignment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Alignment="1">
      <alignment horizontal="right" vertical="center"/>
      <protection/>
    </xf>
    <xf numFmtId="0" fontId="5" fillId="49" borderId="11" xfId="61" applyFont="1" applyFill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right" vertical="center"/>
      <protection/>
    </xf>
    <xf numFmtId="0" fontId="2" fillId="0" borderId="11" xfId="61" applyFont="1" applyBorder="1" applyAlignment="1">
      <alignment horizontal="left" vertical="center"/>
      <protection/>
    </xf>
    <xf numFmtId="49" fontId="2" fillId="0" borderId="11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4" fillId="0" borderId="11" xfId="61" applyFont="1" applyBorder="1" applyAlignment="1">
      <alignment horizontal="left" vertical="center"/>
      <protection/>
    </xf>
    <xf numFmtId="49" fontId="4" fillId="0" borderId="11" xfId="61" applyNumberFormat="1" applyFont="1" applyBorder="1" applyAlignment="1">
      <alignment horizontal="center" vertical="center"/>
      <protection/>
    </xf>
    <xf numFmtId="2" fontId="2" fillId="0" borderId="11" xfId="61" applyNumberFormat="1" applyFont="1" applyBorder="1" applyAlignment="1">
      <alignment horizontal="right" vertical="center"/>
      <protection/>
    </xf>
    <xf numFmtId="1" fontId="2" fillId="0" borderId="11" xfId="61" applyNumberFormat="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left" vertical="center"/>
      <protection/>
    </xf>
    <xf numFmtId="49" fontId="5" fillId="0" borderId="11" xfId="61" applyNumberFormat="1" applyFont="1" applyBorder="1" applyAlignment="1">
      <alignment horizontal="center" vertical="center"/>
      <protection/>
    </xf>
    <xf numFmtId="0" fontId="5" fillId="49" borderId="11" xfId="61" applyFont="1" applyFill="1" applyBorder="1" applyAlignment="1">
      <alignment horizontal="left" vertical="center"/>
      <protection/>
    </xf>
    <xf numFmtId="49" fontId="5" fillId="49" borderId="11" xfId="61" applyNumberFormat="1" applyFont="1" applyFill="1" applyBorder="1" applyAlignment="1">
      <alignment horizontal="center" vertical="center"/>
      <protection/>
    </xf>
    <xf numFmtId="0" fontId="5" fillId="49" borderId="11" xfId="61" applyFont="1" applyFill="1" applyBorder="1" applyAlignment="1">
      <alignment horizontal="right" vertical="center"/>
      <protection/>
    </xf>
    <xf numFmtId="1" fontId="5" fillId="49" borderId="11" xfId="61" applyNumberFormat="1" applyFont="1" applyFill="1" applyBorder="1" applyAlignment="1">
      <alignment horizontal="right" vertical="center"/>
      <protection/>
    </xf>
    <xf numFmtId="0" fontId="36" fillId="0" borderId="69" xfId="60" applyFont="1" applyBorder="1" applyAlignment="1" applyProtection="1">
      <alignment horizontal="center" vertical="center" wrapText="1"/>
      <protection/>
    </xf>
    <xf numFmtId="0" fontId="36" fillId="0" borderId="112" xfId="60" applyFont="1" applyBorder="1" applyAlignment="1" applyProtection="1">
      <alignment horizontal="center" vertical="center" wrapText="1"/>
      <protection/>
    </xf>
    <xf numFmtId="0" fontId="16" fillId="0" borderId="0" xfId="60" applyFont="1" applyBorder="1" applyAlignment="1" applyProtection="1">
      <alignment horizontal="center" vertical="center" wrapText="1"/>
      <protection locked="0"/>
    </xf>
    <xf numFmtId="0" fontId="46" fillId="0" borderId="84" xfId="59" applyFont="1" applyFill="1" applyBorder="1" applyAlignment="1">
      <alignment horizontal="left" vertical="center" wrapText="1"/>
      <protection/>
    </xf>
    <xf numFmtId="0" fontId="46" fillId="0" borderId="85" xfId="59" applyFont="1" applyFill="1" applyBorder="1" applyAlignment="1">
      <alignment horizontal="left" vertical="center" wrapText="1"/>
      <protection/>
    </xf>
    <xf numFmtId="0" fontId="28" fillId="0" borderId="88" xfId="59" applyFont="1" applyFill="1" applyBorder="1" applyAlignment="1">
      <alignment horizontal="center" vertical="center" wrapText="1"/>
      <protection/>
    </xf>
    <xf numFmtId="0" fontId="28" fillId="0" borderId="113" xfId="59" applyFont="1" applyFill="1" applyBorder="1" applyAlignment="1">
      <alignment horizontal="center" vertical="center" wrapText="1"/>
      <protection/>
    </xf>
    <xf numFmtId="0" fontId="29" fillId="0" borderId="88" xfId="59" applyFont="1" applyFill="1" applyBorder="1" applyAlignment="1">
      <alignment horizontal="center" vertical="center" wrapText="1"/>
      <protection/>
    </xf>
    <xf numFmtId="0" fontId="29" fillId="0" borderId="113" xfId="59" applyFont="1" applyFill="1" applyBorder="1" applyAlignment="1">
      <alignment horizontal="center" vertical="center" wrapText="1"/>
      <protection/>
    </xf>
    <xf numFmtId="0" fontId="28" fillId="10" borderId="88" xfId="59" applyFont="1" applyFill="1" applyBorder="1" applyAlignment="1">
      <alignment horizontal="center" vertical="center" wrapText="1"/>
      <protection/>
    </xf>
    <xf numFmtId="0" fontId="28" fillId="10" borderId="113" xfId="59" applyFont="1" applyFill="1" applyBorder="1" applyAlignment="1">
      <alignment horizontal="center" vertical="center" wrapText="1"/>
      <protection/>
    </xf>
    <xf numFmtId="0" fontId="28" fillId="10" borderId="89" xfId="59" applyFont="1" applyFill="1" applyBorder="1" applyAlignment="1">
      <alignment horizontal="center" vertical="center" wrapText="1"/>
      <protection/>
    </xf>
    <xf numFmtId="0" fontId="49" fillId="10" borderId="88" xfId="59" applyFont="1" applyFill="1" applyBorder="1" applyAlignment="1">
      <alignment horizontal="center" vertical="center" wrapText="1"/>
      <protection/>
    </xf>
    <xf numFmtId="0" fontId="49" fillId="10" borderId="113" xfId="59" applyFont="1" applyFill="1" applyBorder="1" applyAlignment="1">
      <alignment horizontal="center" vertical="center" wrapText="1"/>
      <protection/>
    </xf>
    <xf numFmtId="0" fontId="49" fillId="10" borderId="89" xfId="59" applyFont="1" applyFill="1" applyBorder="1" applyAlignment="1">
      <alignment horizontal="center" vertical="center" wrapText="1"/>
      <protection/>
    </xf>
    <xf numFmtId="0" fontId="46" fillId="0" borderId="88" xfId="59" applyFont="1" applyFill="1" applyBorder="1" applyAlignment="1">
      <alignment horizontal="left" vertical="center" wrapText="1"/>
      <protection/>
    </xf>
    <xf numFmtId="0" fontId="46" fillId="0" borderId="113" xfId="59" applyFont="1" applyFill="1" applyBorder="1" applyAlignment="1">
      <alignment horizontal="left" vertical="center" wrapText="1"/>
      <protection/>
    </xf>
    <xf numFmtId="0" fontId="46" fillId="0" borderId="89" xfId="59" applyFont="1" applyFill="1" applyBorder="1" applyAlignment="1">
      <alignment horizontal="left" vertical="center" wrapText="1"/>
      <protection/>
    </xf>
    <xf numFmtId="3" fontId="5" fillId="0" borderId="0" xfId="60" applyNumberFormat="1" applyFont="1" applyBorder="1" applyAlignment="1">
      <alignment horizontal="center" wrapText="1"/>
      <protection/>
    </xf>
    <xf numFmtId="3" fontId="5" fillId="0" borderId="0" xfId="60" applyNumberFormat="1" applyFont="1" applyBorder="1" applyAlignment="1">
      <alignment horizontal="center"/>
      <protection/>
    </xf>
    <xf numFmtId="3" fontId="5" fillId="0" borderId="11" xfId="60" applyNumberFormat="1" applyFont="1" applyBorder="1" applyAlignment="1">
      <alignment horizontal="center" vertical="center" wrapText="1"/>
      <protection/>
    </xf>
    <xf numFmtId="3" fontId="5" fillId="0" borderId="11" xfId="60" applyNumberFormat="1" applyFont="1" applyBorder="1" applyAlignment="1">
      <alignment horizontal="center" vertical="center"/>
      <protection/>
    </xf>
    <xf numFmtId="0" fontId="6" fillId="0" borderId="11" xfId="60" applyFont="1" applyBorder="1" applyAlignment="1">
      <alignment horizontal="center" vertical="center" wrapText="1"/>
      <protection/>
    </xf>
    <xf numFmtId="0" fontId="17" fillId="0" borderId="11" xfId="60" applyFont="1" applyBorder="1" applyAlignment="1">
      <alignment horizontal="center" vertical="center" wrapText="1"/>
      <protection/>
    </xf>
    <xf numFmtId="3" fontId="2" fillId="0" borderId="34" xfId="60" applyNumberFormat="1" applyFont="1" applyFill="1" applyBorder="1" applyAlignment="1" applyProtection="1">
      <alignment horizontal="left" vertical="center"/>
      <protection locked="0"/>
    </xf>
    <xf numFmtId="3" fontId="2" fillId="0" borderId="0" xfId="60" applyNumberFormat="1" applyFont="1" applyFill="1" applyBorder="1" applyAlignment="1" applyProtection="1">
      <alignment horizontal="left" vertical="center"/>
      <protection locked="0"/>
    </xf>
    <xf numFmtId="3" fontId="2" fillId="0" borderId="14" xfId="60" applyNumberFormat="1" applyFont="1" applyFill="1" applyBorder="1" applyAlignment="1" applyProtection="1">
      <alignment horizontal="left" vertical="center"/>
      <protection locked="0"/>
    </xf>
    <xf numFmtId="10" fontId="5" fillId="0" borderId="33" xfId="60" applyNumberFormat="1" applyFont="1" applyBorder="1" applyAlignment="1">
      <alignment horizontal="center" vertical="center"/>
      <protection/>
    </xf>
    <xf numFmtId="10" fontId="5" fillId="0" borderId="114" xfId="60" applyNumberFormat="1" applyFont="1" applyBorder="1" applyAlignment="1">
      <alignment horizontal="center" vertical="center"/>
      <protection/>
    </xf>
    <xf numFmtId="10" fontId="5" fillId="0" borderId="76" xfId="60" applyNumberFormat="1" applyFont="1" applyBorder="1" applyAlignment="1">
      <alignment horizontal="center" vertical="center"/>
      <protection/>
    </xf>
    <xf numFmtId="10" fontId="5" fillId="0" borderId="38" xfId="60" applyNumberFormat="1" applyFont="1" applyBorder="1" applyAlignment="1">
      <alignment horizontal="center" vertical="center"/>
      <protection/>
    </xf>
    <xf numFmtId="3" fontId="5" fillId="62" borderId="11" xfId="60" applyNumberFormat="1" applyFont="1" applyFill="1" applyBorder="1" applyAlignment="1">
      <alignment horizontal="left" vertical="center"/>
      <protection/>
    </xf>
    <xf numFmtId="3" fontId="5" fillId="62" borderId="35" xfId="60" applyNumberFormat="1" applyFont="1" applyFill="1" applyBorder="1" applyAlignment="1">
      <alignment horizontal="center" vertical="center"/>
      <protection/>
    </xf>
    <xf numFmtId="3" fontId="5" fillId="62" borderId="15" xfId="60" applyNumberFormat="1" applyFont="1" applyFill="1" applyBorder="1" applyAlignment="1">
      <alignment horizontal="center" vertical="center"/>
      <protection/>
    </xf>
    <xf numFmtId="3" fontId="5" fillId="62" borderId="10" xfId="60" applyNumberFormat="1" applyFont="1" applyFill="1" applyBorder="1" applyAlignment="1">
      <alignment horizontal="center" vertical="center"/>
      <protection/>
    </xf>
    <xf numFmtId="3" fontId="2" fillId="0" borderId="33" xfId="60" applyNumberFormat="1" applyFont="1" applyBorder="1" applyAlignment="1" applyProtection="1">
      <alignment horizontal="left" vertical="center"/>
      <protection hidden="1"/>
    </xf>
    <xf numFmtId="3" fontId="2" fillId="0" borderId="36" xfId="60" applyNumberFormat="1" applyFont="1" applyBorder="1" applyAlignment="1" applyProtection="1">
      <alignment horizontal="left" vertical="center"/>
      <protection hidden="1"/>
    </xf>
    <xf numFmtId="3" fontId="2" fillId="0" borderId="114" xfId="60" applyNumberFormat="1" applyFont="1" applyBorder="1" applyAlignment="1" applyProtection="1">
      <alignment horizontal="left" vertical="center"/>
      <protection hidden="1"/>
    </xf>
    <xf numFmtId="0" fontId="51" fillId="0" borderId="0" xfId="60" applyFont="1" applyFill="1" applyBorder="1" applyAlignment="1">
      <alignment horizontal="left"/>
      <protection/>
    </xf>
    <xf numFmtId="0" fontId="51" fillId="0" borderId="0" xfId="60" applyFont="1" applyFill="1" applyBorder="1" applyAlignment="1">
      <alignment horizontal="center"/>
      <protection/>
    </xf>
    <xf numFmtId="3" fontId="40" fillId="54" borderId="115" xfId="60" applyNumberFormat="1" applyFont="1" applyFill="1" applyBorder="1" applyAlignment="1">
      <alignment horizontal="right"/>
      <protection/>
    </xf>
    <xf numFmtId="3" fontId="40" fillId="54" borderId="104" xfId="60" applyNumberFormat="1" applyFont="1" applyFill="1" applyBorder="1" applyAlignment="1">
      <alignment horizontal="right"/>
      <protection/>
    </xf>
    <xf numFmtId="170" fontId="40" fillId="54" borderId="115" xfId="60" applyNumberFormat="1" applyFont="1" applyFill="1" applyBorder="1" applyAlignment="1">
      <alignment horizontal="right"/>
      <protection/>
    </xf>
    <xf numFmtId="170" fontId="40" fillId="54" borderId="104" xfId="60" applyNumberFormat="1" applyFont="1" applyFill="1" applyBorder="1" applyAlignment="1">
      <alignment horizontal="right"/>
      <protection/>
    </xf>
    <xf numFmtId="0" fontId="28" fillId="0" borderId="0" xfId="58" applyFont="1" applyAlignment="1">
      <alignment horizontal="center"/>
      <protection/>
    </xf>
    <xf numFmtId="0" fontId="16" fillId="0" borderId="116" xfId="60" applyFont="1" applyBorder="1" applyAlignment="1">
      <alignment horizontal="center" vertical="center" wrapText="1"/>
      <protection/>
    </xf>
    <xf numFmtId="0" fontId="16" fillId="36" borderId="99" xfId="60" applyFont="1" applyFill="1" applyBorder="1" applyAlignment="1">
      <alignment/>
      <protection/>
    </xf>
    <xf numFmtId="0" fontId="16" fillId="36" borderId="22" xfId="60" applyFont="1" applyFill="1" applyBorder="1" applyAlignment="1">
      <alignment/>
      <protection/>
    </xf>
    <xf numFmtId="0" fontId="16" fillId="36" borderId="100" xfId="60" applyFont="1" applyFill="1" applyBorder="1" applyAlignment="1">
      <alignment/>
      <protection/>
    </xf>
    <xf numFmtId="0" fontId="16" fillId="36" borderId="11" xfId="60" applyFont="1" applyFill="1" applyBorder="1" applyAlignment="1">
      <alignment horizontal="left"/>
      <protection/>
    </xf>
    <xf numFmtId="0" fontId="40" fillId="0" borderId="54" xfId="60" applyFont="1" applyFill="1" applyBorder="1" applyAlignment="1">
      <alignment horizontal="left"/>
      <protection/>
    </xf>
    <xf numFmtId="0" fontId="40" fillId="0" borderId="103" xfId="60" applyFont="1" applyFill="1" applyBorder="1" applyAlignment="1">
      <alignment horizontal="left"/>
      <protection/>
    </xf>
    <xf numFmtId="3" fontId="5" fillId="63" borderId="117" xfId="60" applyNumberFormat="1" applyFont="1" applyFill="1" applyBorder="1" applyAlignment="1" applyProtection="1">
      <alignment horizontal="center" vertical="center" wrapText="1"/>
      <protection locked="0"/>
    </xf>
    <xf numFmtId="3" fontId="5" fillId="63" borderId="118" xfId="60" applyNumberFormat="1" applyFont="1" applyFill="1" applyBorder="1" applyAlignment="1" applyProtection="1">
      <alignment horizontal="center" vertical="center" wrapText="1"/>
      <protection locked="0"/>
    </xf>
    <xf numFmtId="3" fontId="7" fillId="33" borderId="117" xfId="60" applyNumberFormat="1" applyFont="1" applyFill="1" applyBorder="1" applyAlignment="1" applyProtection="1">
      <alignment horizontal="center" vertical="center" wrapText="1"/>
      <protection locked="0"/>
    </xf>
    <xf numFmtId="3" fontId="7" fillId="33" borderId="118" xfId="60" applyNumberFormat="1" applyFont="1" applyFill="1" applyBorder="1" applyAlignment="1" applyProtection="1">
      <alignment horizontal="center" vertical="center" wrapText="1"/>
      <protection locked="0"/>
    </xf>
    <xf numFmtId="3" fontId="7" fillId="33" borderId="119" xfId="60" applyNumberFormat="1" applyFont="1" applyFill="1" applyBorder="1" applyAlignment="1" applyProtection="1">
      <alignment horizontal="center" vertical="center" wrapText="1"/>
      <protection locked="0"/>
    </xf>
    <xf numFmtId="0" fontId="3" fillId="0" borderId="120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2" xfId="60" applyFont="1" applyBorder="1" applyAlignment="1" applyProtection="1">
      <alignment horizontal="center" vertical="center" wrapText="1"/>
      <protection/>
    </xf>
    <xf numFmtId="0" fontId="6" fillId="0" borderId="37" xfId="60" applyFont="1" applyBorder="1" applyAlignment="1" applyProtection="1">
      <alignment horizontal="center" vertical="center" wrapText="1"/>
      <protection/>
    </xf>
    <xf numFmtId="0" fontId="6" fillId="0" borderId="121" xfId="60" applyFont="1" applyBorder="1" applyAlignment="1" applyProtection="1">
      <alignment horizontal="center" vertical="center" wrapText="1"/>
      <protection/>
    </xf>
    <xf numFmtId="0" fontId="5" fillId="0" borderId="37" xfId="60" applyFont="1" applyBorder="1" applyAlignment="1" applyProtection="1">
      <alignment horizontal="center"/>
      <protection/>
    </xf>
    <xf numFmtId="0" fontId="5" fillId="0" borderId="120" xfId="60" applyFont="1" applyBorder="1" applyAlignment="1" applyProtection="1">
      <alignment horizontal="center"/>
      <protection/>
    </xf>
    <xf numFmtId="0" fontId="5" fillId="0" borderId="105" xfId="60" applyFont="1" applyBorder="1" applyAlignment="1" applyProtection="1">
      <alignment horizontal="center"/>
      <protection/>
    </xf>
    <xf numFmtId="0" fontId="3" fillId="0" borderId="37" xfId="60" applyFont="1" applyBorder="1" applyAlignment="1" applyProtection="1">
      <alignment horizontal="center" vertical="center" wrapText="1"/>
      <protection/>
    </xf>
    <xf numFmtId="0" fontId="6" fillId="0" borderId="35" xfId="60" applyFont="1" applyBorder="1" applyAlignment="1" applyProtection="1">
      <alignment horizontal="center" vertical="center"/>
      <protection/>
    </xf>
    <xf numFmtId="0" fontId="6" fillId="0" borderId="15" xfId="60" applyFont="1" applyBorder="1" applyAlignment="1" applyProtection="1">
      <alignment horizontal="center" vertical="center"/>
      <protection/>
    </xf>
    <xf numFmtId="0" fontId="6" fillId="0" borderId="10" xfId="60" applyFont="1" applyBorder="1" applyAlignment="1" applyProtection="1">
      <alignment horizontal="center" vertical="center"/>
      <protection/>
    </xf>
    <xf numFmtId="0" fontId="16" fillId="0" borderId="122" xfId="60" applyFont="1" applyBorder="1" applyAlignment="1" applyProtection="1">
      <alignment horizontal="center" vertical="center" wrapText="1"/>
      <protection locked="0"/>
    </xf>
    <xf numFmtId="0" fontId="5" fillId="0" borderId="37" xfId="60" applyFont="1" applyBorder="1" applyAlignment="1" applyProtection="1">
      <alignment horizontal="center" vertical="center"/>
      <protection/>
    </xf>
    <xf numFmtId="0" fontId="5" fillId="0" borderId="120" xfId="60" applyFont="1" applyBorder="1" applyAlignment="1" applyProtection="1">
      <alignment horizontal="center" vertical="center"/>
      <protection/>
    </xf>
    <xf numFmtId="0" fontId="5" fillId="0" borderId="120" xfId="60" applyFont="1" applyBorder="1" applyAlignment="1" applyProtection="1">
      <alignment horizontal="center" vertical="center" wrapText="1"/>
      <protection/>
    </xf>
    <xf numFmtId="0" fontId="5" fillId="0" borderId="105" xfId="60" applyFont="1" applyBorder="1" applyAlignment="1" applyProtection="1">
      <alignment horizontal="center" vertical="center" wrapText="1"/>
      <protection/>
    </xf>
    <xf numFmtId="0" fontId="6" fillId="0" borderId="35" xfId="60" applyFont="1" applyBorder="1" applyAlignment="1" applyProtection="1">
      <alignment horizontal="center" vertical="center" wrapText="1"/>
      <protection/>
    </xf>
    <xf numFmtId="0" fontId="6" fillId="0" borderId="15" xfId="60" applyFont="1" applyBorder="1" applyAlignment="1" applyProtection="1">
      <alignment horizontal="center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3" fillId="6" borderId="120" xfId="60" applyFont="1" applyFill="1" applyBorder="1" applyAlignment="1" applyProtection="1">
      <alignment horizontal="center" vertical="center" wrapText="1"/>
      <protection/>
    </xf>
    <xf numFmtId="0" fontId="3" fillId="6" borderId="22" xfId="60" applyFont="1" applyFill="1" applyBorder="1" applyAlignment="1" applyProtection="1">
      <alignment horizontal="center" vertical="center" wrapText="1"/>
      <protection/>
    </xf>
    <xf numFmtId="0" fontId="3" fillId="6" borderId="12" xfId="60" applyFont="1" applyFill="1" applyBorder="1" applyAlignment="1" applyProtection="1">
      <alignment horizontal="center" vertical="center" wrapText="1"/>
      <protection/>
    </xf>
    <xf numFmtId="3" fontId="7" fillId="47" borderId="117" xfId="60" applyNumberFormat="1" applyFont="1" applyFill="1" applyBorder="1" applyAlignment="1" applyProtection="1">
      <alignment horizontal="center" vertical="center" wrapText="1"/>
      <protection locked="0"/>
    </xf>
    <xf numFmtId="3" fontId="7" fillId="47" borderId="118" xfId="60" applyNumberFormat="1" applyFont="1" applyFill="1" applyBorder="1" applyAlignment="1" applyProtection="1">
      <alignment horizontal="center" vertical="center" wrapText="1"/>
      <protection locked="0"/>
    </xf>
    <xf numFmtId="0" fontId="3" fillId="6" borderId="37" xfId="60" applyFont="1" applyFill="1" applyBorder="1" applyAlignment="1" applyProtection="1">
      <alignment horizontal="center" vertical="center" wrapText="1"/>
      <protection/>
    </xf>
    <xf numFmtId="0" fontId="44" fillId="0" borderId="0" xfId="61" applyFont="1" applyBorder="1" applyAlignment="1">
      <alignment horizontal="center" vertical="center" wrapText="1"/>
      <protection/>
    </xf>
    <xf numFmtId="0" fontId="41" fillId="0" borderId="0" xfId="61" applyFont="1" applyBorder="1" applyAlignment="1">
      <alignment horizontal="right" vertical="center"/>
      <protection/>
    </xf>
    <xf numFmtId="171" fontId="16" fillId="19" borderId="88" xfId="40" applyNumberFormat="1" applyFont="1" applyFill="1" applyBorder="1" applyAlignment="1">
      <alignment horizontal="left" vertical="center" wrapText="1"/>
    </xf>
    <xf numFmtId="171" fontId="16" fillId="19" borderId="89" xfId="40" applyNumberFormat="1" applyFont="1" applyFill="1" applyBorder="1" applyAlignment="1">
      <alignment horizontal="left" vertical="center" wrapText="1"/>
    </xf>
    <xf numFmtId="171" fontId="110" fillId="0" borderId="123" xfId="40" applyNumberFormat="1" applyFont="1" applyFill="1" applyBorder="1" applyAlignment="1">
      <alignment horizontal="center" vertical="center" wrapText="1"/>
    </xf>
    <xf numFmtId="171" fontId="110" fillId="0" borderId="124" xfId="40" applyNumberFormat="1" applyFont="1" applyFill="1" applyBorder="1" applyAlignment="1">
      <alignment horizontal="center" vertical="center" wrapText="1"/>
    </xf>
    <xf numFmtId="171" fontId="16" fillId="51" borderId="88" xfId="40" applyNumberFormat="1" applyFont="1" applyFill="1" applyBorder="1" applyAlignment="1">
      <alignment horizontal="left" vertical="center" wrapText="1"/>
    </xf>
    <xf numFmtId="171" fontId="16" fillId="51" borderId="89" xfId="40" applyNumberFormat="1" applyFont="1" applyFill="1" applyBorder="1" applyAlignment="1">
      <alignment horizontal="left" vertical="center" wrapText="1"/>
    </xf>
    <xf numFmtId="171" fontId="16" fillId="50" borderId="88" xfId="40" applyNumberFormat="1" applyFont="1" applyFill="1" applyBorder="1" applyAlignment="1">
      <alignment horizontal="left" vertical="center"/>
    </xf>
    <xf numFmtId="171" fontId="16" fillId="50" borderId="89" xfId="40" applyNumberFormat="1" applyFont="1" applyFill="1" applyBorder="1" applyAlignment="1">
      <alignment horizontal="left" vertical="center"/>
    </xf>
    <xf numFmtId="0" fontId="5" fillId="49" borderId="29" xfId="61" applyFont="1" applyFill="1" applyBorder="1" applyAlignment="1">
      <alignment horizontal="center" vertical="center" wrapText="1"/>
      <protection/>
    </xf>
    <xf numFmtId="0" fontId="5" fillId="49" borderId="28" xfId="61" applyFont="1" applyFill="1" applyBorder="1" applyAlignment="1">
      <alignment horizontal="center" vertical="center" wrapText="1"/>
      <protection/>
    </xf>
    <xf numFmtId="0" fontId="5" fillId="49" borderId="16" xfId="61" applyFont="1" applyFill="1" applyBorder="1" applyAlignment="1">
      <alignment horizontal="center" vertical="center" wrapText="1"/>
      <protection/>
    </xf>
    <xf numFmtId="0" fontId="55" fillId="0" borderId="0" xfId="61" applyFont="1" applyAlignment="1">
      <alignment horizontal="center" wrapText="1"/>
      <protection/>
    </xf>
    <xf numFmtId="0" fontId="55" fillId="0" borderId="0" xfId="61" applyFont="1" applyAlignment="1">
      <alignment horizontal="center" vertical="center"/>
      <protection/>
    </xf>
    <xf numFmtId="0" fontId="7" fillId="49" borderId="11" xfId="61" applyFont="1" applyFill="1" applyBorder="1" applyAlignment="1">
      <alignment horizontal="center" vertical="center"/>
      <protection/>
    </xf>
    <xf numFmtId="0" fontId="5" fillId="49" borderId="11" xfId="61" applyFont="1" applyFill="1" applyBorder="1" applyAlignment="1">
      <alignment horizontal="center" vertical="center"/>
      <protection/>
    </xf>
    <xf numFmtId="0" fontId="8" fillId="0" borderId="0" xfId="60" applyFont="1" applyAlignment="1">
      <alignment horizontal="right"/>
      <protection/>
    </xf>
    <xf numFmtId="0" fontId="7" fillId="0" borderId="0" xfId="60" applyFont="1" applyBorder="1" applyAlignment="1">
      <alignment horizontal="center" vertical="center" wrapText="1"/>
      <protection/>
    </xf>
    <xf numFmtId="0" fontId="27" fillId="0" borderId="25" xfId="60" applyFont="1" applyBorder="1" applyAlignment="1">
      <alignment horizontal="center" vertical="center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Normál 2" xfId="57"/>
    <cellStyle name="Normál 2 2" xfId="58"/>
    <cellStyle name="Normál_2004-KTG KONCEPCIÓ mellékletek, függelékek" xfId="59"/>
    <cellStyle name="Normál_2008_evi_ktgv_mellekletei 2" xfId="60"/>
    <cellStyle name="Normál_SM4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externalLink" Target="externalLinks/externalLink5.xml" /><Relationship Id="rId19" Type="http://schemas.openxmlformats.org/officeDocument/2006/relationships/externalLink" Target="externalLinks/externalLink6.xml" /><Relationship Id="rId20" Type="http://schemas.openxmlformats.org/officeDocument/2006/relationships/externalLink" Target="externalLinks/externalLink7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46</xdr:row>
      <xdr:rowOff>0</xdr:rowOff>
    </xdr:from>
    <xdr:ext cx="190500" cy="285750"/>
    <xdr:sp fLocksText="0">
      <xdr:nvSpPr>
        <xdr:cNvPr id="1" name="Szövegdoboz 1"/>
        <xdr:cNvSpPr txBox="1">
          <a:spLocks noChangeArrowheads="1"/>
        </xdr:cNvSpPr>
      </xdr:nvSpPr>
      <xdr:spPr>
        <a:xfrm>
          <a:off x="20021550" y="94011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90500" cy="333375"/>
    <xdr:sp fLocksText="0">
      <xdr:nvSpPr>
        <xdr:cNvPr id="2" name="Szövegdoboz 2"/>
        <xdr:cNvSpPr txBox="1">
          <a:spLocks noChangeArrowheads="1"/>
        </xdr:cNvSpPr>
      </xdr:nvSpPr>
      <xdr:spPr>
        <a:xfrm>
          <a:off x="20021550" y="132016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190500" cy="285750"/>
    <xdr:sp fLocksText="0">
      <xdr:nvSpPr>
        <xdr:cNvPr id="3" name="Szövegdoboz 3"/>
        <xdr:cNvSpPr txBox="1">
          <a:spLocks noChangeArrowheads="1"/>
        </xdr:cNvSpPr>
      </xdr:nvSpPr>
      <xdr:spPr>
        <a:xfrm>
          <a:off x="20021550" y="94011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90500" cy="333375"/>
    <xdr:sp fLocksText="0">
      <xdr:nvSpPr>
        <xdr:cNvPr id="4" name="Szövegdoboz 4"/>
        <xdr:cNvSpPr txBox="1">
          <a:spLocks noChangeArrowheads="1"/>
        </xdr:cNvSpPr>
      </xdr:nvSpPr>
      <xdr:spPr>
        <a:xfrm>
          <a:off x="20021550" y="132016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190500" cy="285750"/>
    <xdr:sp fLocksText="0">
      <xdr:nvSpPr>
        <xdr:cNvPr id="5" name="Szövegdoboz 5"/>
        <xdr:cNvSpPr txBox="1">
          <a:spLocks noChangeArrowheads="1"/>
        </xdr:cNvSpPr>
      </xdr:nvSpPr>
      <xdr:spPr>
        <a:xfrm>
          <a:off x="20021550" y="94011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90500" cy="333375"/>
    <xdr:sp fLocksText="0">
      <xdr:nvSpPr>
        <xdr:cNvPr id="6" name="Szövegdoboz 6"/>
        <xdr:cNvSpPr txBox="1">
          <a:spLocks noChangeArrowheads="1"/>
        </xdr:cNvSpPr>
      </xdr:nvSpPr>
      <xdr:spPr>
        <a:xfrm>
          <a:off x="20021550" y="132016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46</xdr:row>
      <xdr:rowOff>0</xdr:rowOff>
    </xdr:from>
    <xdr:ext cx="190500" cy="285750"/>
    <xdr:sp fLocksText="0">
      <xdr:nvSpPr>
        <xdr:cNvPr id="7" name="Szövegdoboz 7"/>
        <xdr:cNvSpPr txBox="1">
          <a:spLocks noChangeArrowheads="1"/>
        </xdr:cNvSpPr>
      </xdr:nvSpPr>
      <xdr:spPr>
        <a:xfrm>
          <a:off x="20021550" y="94011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63</xdr:row>
      <xdr:rowOff>0</xdr:rowOff>
    </xdr:from>
    <xdr:ext cx="190500" cy="333375"/>
    <xdr:sp fLocksText="0">
      <xdr:nvSpPr>
        <xdr:cNvPr id="8" name="Szövegdoboz 8"/>
        <xdr:cNvSpPr txBox="1">
          <a:spLocks noChangeArrowheads="1"/>
        </xdr:cNvSpPr>
      </xdr:nvSpPr>
      <xdr:spPr>
        <a:xfrm>
          <a:off x="20021550" y="13201650"/>
          <a:ext cx="1905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22</xdr:col>
      <xdr:colOff>0</xdr:colOff>
      <xdr:row>2</xdr:row>
      <xdr:rowOff>0</xdr:rowOff>
    </xdr:from>
    <xdr:ext cx="190500" cy="285750"/>
    <xdr:sp fLocksText="0">
      <xdr:nvSpPr>
        <xdr:cNvPr id="1" name="Szövegdoboz 1"/>
        <xdr:cNvSpPr txBox="1">
          <a:spLocks noChangeArrowheads="1"/>
        </xdr:cNvSpPr>
      </xdr:nvSpPr>
      <xdr:spPr>
        <a:xfrm>
          <a:off x="20126325" y="18097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20</xdr:row>
      <xdr:rowOff>0</xdr:rowOff>
    </xdr:from>
    <xdr:ext cx="190500" cy="285750"/>
    <xdr:sp fLocksText="0">
      <xdr:nvSpPr>
        <xdr:cNvPr id="2" name="Szövegdoboz 2"/>
        <xdr:cNvSpPr txBox="1">
          <a:spLocks noChangeArrowheads="1"/>
        </xdr:cNvSpPr>
      </xdr:nvSpPr>
      <xdr:spPr>
        <a:xfrm>
          <a:off x="20126325" y="516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</xdr:row>
      <xdr:rowOff>0</xdr:rowOff>
    </xdr:from>
    <xdr:ext cx="190500" cy="285750"/>
    <xdr:sp fLocksText="0">
      <xdr:nvSpPr>
        <xdr:cNvPr id="3" name="Szövegdoboz 3"/>
        <xdr:cNvSpPr txBox="1">
          <a:spLocks noChangeArrowheads="1"/>
        </xdr:cNvSpPr>
      </xdr:nvSpPr>
      <xdr:spPr>
        <a:xfrm>
          <a:off x="20126325" y="18097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20</xdr:row>
      <xdr:rowOff>0</xdr:rowOff>
    </xdr:from>
    <xdr:ext cx="190500" cy="285750"/>
    <xdr:sp fLocksText="0">
      <xdr:nvSpPr>
        <xdr:cNvPr id="4" name="Szövegdoboz 4"/>
        <xdr:cNvSpPr txBox="1">
          <a:spLocks noChangeArrowheads="1"/>
        </xdr:cNvSpPr>
      </xdr:nvSpPr>
      <xdr:spPr>
        <a:xfrm>
          <a:off x="20126325" y="516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</xdr:row>
      <xdr:rowOff>0</xdr:rowOff>
    </xdr:from>
    <xdr:ext cx="190500" cy="285750"/>
    <xdr:sp fLocksText="0">
      <xdr:nvSpPr>
        <xdr:cNvPr id="5" name="Szövegdoboz 5"/>
        <xdr:cNvSpPr txBox="1">
          <a:spLocks noChangeArrowheads="1"/>
        </xdr:cNvSpPr>
      </xdr:nvSpPr>
      <xdr:spPr>
        <a:xfrm>
          <a:off x="20126325" y="18097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20</xdr:row>
      <xdr:rowOff>0</xdr:rowOff>
    </xdr:from>
    <xdr:ext cx="190500" cy="285750"/>
    <xdr:sp fLocksText="0">
      <xdr:nvSpPr>
        <xdr:cNvPr id="6" name="Szövegdoboz 6"/>
        <xdr:cNvSpPr txBox="1">
          <a:spLocks noChangeArrowheads="1"/>
        </xdr:cNvSpPr>
      </xdr:nvSpPr>
      <xdr:spPr>
        <a:xfrm>
          <a:off x="20126325" y="516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</xdr:row>
      <xdr:rowOff>0</xdr:rowOff>
    </xdr:from>
    <xdr:ext cx="190500" cy="285750"/>
    <xdr:sp fLocksText="0">
      <xdr:nvSpPr>
        <xdr:cNvPr id="7" name="Szövegdoboz 7"/>
        <xdr:cNvSpPr txBox="1">
          <a:spLocks noChangeArrowheads="1"/>
        </xdr:cNvSpPr>
      </xdr:nvSpPr>
      <xdr:spPr>
        <a:xfrm>
          <a:off x="20126325" y="18097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22</xdr:col>
      <xdr:colOff>0</xdr:colOff>
      <xdr:row>20</xdr:row>
      <xdr:rowOff>0</xdr:rowOff>
    </xdr:from>
    <xdr:ext cx="190500" cy="285750"/>
    <xdr:sp fLocksText="0">
      <xdr:nvSpPr>
        <xdr:cNvPr id="8" name="Szövegdoboz 8"/>
        <xdr:cNvSpPr txBox="1">
          <a:spLocks noChangeArrowheads="1"/>
        </xdr:cNvSpPr>
      </xdr:nvSpPr>
      <xdr:spPr>
        <a:xfrm>
          <a:off x="20126325" y="516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742950</xdr:colOff>
      <xdr:row>47</xdr:row>
      <xdr:rowOff>0</xdr:rowOff>
    </xdr:from>
    <xdr:ext cx="190500" cy="285750"/>
    <xdr:sp fLocksText="0">
      <xdr:nvSpPr>
        <xdr:cNvPr id="1" name="Szövegdoboz 1"/>
        <xdr:cNvSpPr txBox="1">
          <a:spLocks noChangeArrowheads="1"/>
        </xdr:cNvSpPr>
      </xdr:nvSpPr>
      <xdr:spPr>
        <a:xfrm>
          <a:off x="4760595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84</xdr:row>
      <xdr:rowOff>0</xdr:rowOff>
    </xdr:from>
    <xdr:ext cx="190500" cy="285750"/>
    <xdr:sp fLocksText="0">
      <xdr:nvSpPr>
        <xdr:cNvPr id="2" name="Szövegdoboz 2"/>
        <xdr:cNvSpPr txBox="1">
          <a:spLocks noChangeArrowheads="1"/>
        </xdr:cNvSpPr>
      </xdr:nvSpPr>
      <xdr:spPr>
        <a:xfrm>
          <a:off x="47605950" y="178212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47</xdr:row>
      <xdr:rowOff>0</xdr:rowOff>
    </xdr:from>
    <xdr:ext cx="190500" cy="285750"/>
    <xdr:sp fLocksText="0">
      <xdr:nvSpPr>
        <xdr:cNvPr id="3" name="Szövegdoboz 3"/>
        <xdr:cNvSpPr txBox="1">
          <a:spLocks noChangeArrowheads="1"/>
        </xdr:cNvSpPr>
      </xdr:nvSpPr>
      <xdr:spPr>
        <a:xfrm>
          <a:off x="4838700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84</xdr:row>
      <xdr:rowOff>0</xdr:rowOff>
    </xdr:from>
    <xdr:ext cx="190500" cy="285750"/>
    <xdr:sp fLocksText="0">
      <xdr:nvSpPr>
        <xdr:cNvPr id="4" name="Szövegdoboz 4"/>
        <xdr:cNvSpPr txBox="1">
          <a:spLocks noChangeArrowheads="1"/>
        </xdr:cNvSpPr>
      </xdr:nvSpPr>
      <xdr:spPr>
        <a:xfrm>
          <a:off x="48387000" y="178212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47</xdr:row>
      <xdr:rowOff>0</xdr:rowOff>
    </xdr:from>
    <xdr:ext cx="190500" cy="285750"/>
    <xdr:sp fLocksText="0">
      <xdr:nvSpPr>
        <xdr:cNvPr id="5" name="Szövegdoboz 5"/>
        <xdr:cNvSpPr txBox="1">
          <a:spLocks noChangeArrowheads="1"/>
        </xdr:cNvSpPr>
      </xdr:nvSpPr>
      <xdr:spPr>
        <a:xfrm>
          <a:off x="4760595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84</xdr:row>
      <xdr:rowOff>0</xdr:rowOff>
    </xdr:from>
    <xdr:ext cx="190500" cy="285750"/>
    <xdr:sp fLocksText="0">
      <xdr:nvSpPr>
        <xdr:cNvPr id="6" name="Szövegdoboz 6"/>
        <xdr:cNvSpPr txBox="1">
          <a:spLocks noChangeArrowheads="1"/>
        </xdr:cNvSpPr>
      </xdr:nvSpPr>
      <xdr:spPr>
        <a:xfrm>
          <a:off x="47605950" y="178212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47</xdr:row>
      <xdr:rowOff>0</xdr:rowOff>
    </xdr:from>
    <xdr:ext cx="190500" cy="285750"/>
    <xdr:sp fLocksText="0">
      <xdr:nvSpPr>
        <xdr:cNvPr id="7" name="Szövegdoboz 7"/>
        <xdr:cNvSpPr txBox="1">
          <a:spLocks noChangeArrowheads="1"/>
        </xdr:cNvSpPr>
      </xdr:nvSpPr>
      <xdr:spPr>
        <a:xfrm>
          <a:off x="4838700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84</xdr:row>
      <xdr:rowOff>0</xdr:rowOff>
    </xdr:from>
    <xdr:ext cx="190500" cy="285750"/>
    <xdr:sp fLocksText="0">
      <xdr:nvSpPr>
        <xdr:cNvPr id="8" name="Szövegdoboz 8"/>
        <xdr:cNvSpPr txBox="1">
          <a:spLocks noChangeArrowheads="1"/>
        </xdr:cNvSpPr>
      </xdr:nvSpPr>
      <xdr:spPr>
        <a:xfrm>
          <a:off x="48387000" y="178212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742950</xdr:colOff>
      <xdr:row>47</xdr:row>
      <xdr:rowOff>0</xdr:rowOff>
    </xdr:from>
    <xdr:ext cx="190500" cy="285750"/>
    <xdr:sp fLocksText="0">
      <xdr:nvSpPr>
        <xdr:cNvPr id="1" name="Szövegdoboz 1"/>
        <xdr:cNvSpPr txBox="1">
          <a:spLocks noChangeArrowheads="1"/>
        </xdr:cNvSpPr>
      </xdr:nvSpPr>
      <xdr:spPr>
        <a:xfrm>
          <a:off x="4760595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84</xdr:row>
      <xdr:rowOff>0</xdr:rowOff>
    </xdr:from>
    <xdr:ext cx="190500" cy="285750"/>
    <xdr:sp fLocksText="0">
      <xdr:nvSpPr>
        <xdr:cNvPr id="2" name="Szövegdoboz 2"/>
        <xdr:cNvSpPr txBox="1">
          <a:spLocks noChangeArrowheads="1"/>
        </xdr:cNvSpPr>
      </xdr:nvSpPr>
      <xdr:spPr>
        <a:xfrm>
          <a:off x="47605950" y="177260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47</xdr:row>
      <xdr:rowOff>0</xdr:rowOff>
    </xdr:from>
    <xdr:ext cx="190500" cy="285750"/>
    <xdr:sp fLocksText="0">
      <xdr:nvSpPr>
        <xdr:cNvPr id="3" name="Szövegdoboz 3"/>
        <xdr:cNvSpPr txBox="1">
          <a:spLocks noChangeArrowheads="1"/>
        </xdr:cNvSpPr>
      </xdr:nvSpPr>
      <xdr:spPr>
        <a:xfrm>
          <a:off x="4838700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84</xdr:row>
      <xdr:rowOff>0</xdr:rowOff>
    </xdr:from>
    <xdr:ext cx="190500" cy="285750"/>
    <xdr:sp fLocksText="0">
      <xdr:nvSpPr>
        <xdr:cNvPr id="4" name="Szövegdoboz 4"/>
        <xdr:cNvSpPr txBox="1">
          <a:spLocks noChangeArrowheads="1"/>
        </xdr:cNvSpPr>
      </xdr:nvSpPr>
      <xdr:spPr>
        <a:xfrm>
          <a:off x="48387000" y="177260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47</xdr:row>
      <xdr:rowOff>0</xdr:rowOff>
    </xdr:from>
    <xdr:ext cx="190500" cy="285750"/>
    <xdr:sp fLocksText="0">
      <xdr:nvSpPr>
        <xdr:cNvPr id="5" name="Szövegdoboz 5"/>
        <xdr:cNvSpPr txBox="1">
          <a:spLocks noChangeArrowheads="1"/>
        </xdr:cNvSpPr>
      </xdr:nvSpPr>
      <xdr:spPr>
        <a:xfrm>
          <a:off x="4760595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84</xdr:row>
      <xdr:rowOff>0</xdr:rowOff>
    </xdr:from>
    <xdr:ext cx="190500" cy="285750"/>
    <xdr:sp fLocksText="0">
      <xdr:nvSpPr>
        <xdr:cNvPr id="6" name="Szövegdoboz 6"/>
        <xdr:cNvSpPr txBox="1">
          <a:spLocks noChangeArrowheads="1"/>
        </xdr:cNvSpPr>
      </xdr:nvSpPr>
      <xdr:spPr>
        <a:xfrm>
          <a:off x="47605950" y="177260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47</xdr:row>
      <xdr:rowOff>0</xdr:rowOff>
    </xdr:from>
    <xdr:ext cx="190500" cy="285750"/>
    <xdr:sp fLocksText="0">
      <xdr:nvSpPr>
        <xdr:cNvPr id="7" name="Szövegdoboz 7"/>
        <xdr:cNvSpPr txBox="1">
          <a:spLocks noChangeArrowheads="1"/>
        </xdr:cNvSpPr>
      </xdr:nvSpPr>
      <xdr:spPr>
        <a:xfrm>
          <a:off x="4838700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84</xdr:row>
      <xdr:rowOff>0</xdr:rowOff>
    </xdr:from>
    <xdr:ext cx="190500" cy="285750"/>
    <xdr:sp fLocksText="0">
      <xdr:nvSpPr>
        <xdr:cNvPr id="8" name="Szövegdoboz 8"/>
        <xdr:cNvSpPr txBox="1">
          <a:spLocks noChangeArrowheads="1"/>
        </xdr:cNvSpPr>
      </xdr:nvSpPr>
      <xdr:spPr>
        <a:xfrm>
          <a:off x="48387000" y="177260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85</xdr:row>
      <xdr:rowOff>0</xdr:rowOff>
    </xdr:from>
    <xdr:ext cx="190500" cy="285750"/>
    <xdr:sp fLocksText="0">
      <xdr:nvSpPr>
        <xdr:cNvPr id="9" name="Szövegdoboz 9"/>
        <xdr:cNvSpPr txBox="1">
          <a:spLocks noChangeArrowheads="1"/>
        </xdr:cNvSpPr>
      </xdr:nvSpPr>
      <xdr:spPr>
        <a:xfrm>
          <a:off x="47605950" y="181070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85</xdr:row>
      <xdr:rowOff>0</xdr:rowOff>
    </xdr:from>
    <xdr:ext cx="190500" cy="285750"/>
    <xdr:sp fLocksText="0">
      <xdr:nvSpPr>
        <xdr:cNvPr id="10" name="Szövegdoboz 10"/>
        <xdr:cNvSpPr txBox="1">
          <a:spLocks noChangeArrowheads="1"/>
        </xdr:cNvSpPr>
      </xdr:nvSpPr>
      <xdr:spPr>
        <a:xfrm>
          <a:off x="48387000" y="181070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85</xdr:row>
      <xdr:rowOff>0</xdr:rowOff>
    </xdr:from>
    <xdr:ext cx="190500" cy="285750"/>
    <xdr:sp fLocksText="0">
      <xdr:nvSpPr>
        <xdr:cNvPr id="11" name="Szövegdoboz 11"/>
        <xdr:cNvSpPr txBox="1">
          <a:spLocks noChangeArrowheads="1"/>
        </xdr:cNvSpPr>
      </xdr:nvSpPr>
      <xdr:spPr>
        <a:xfrm>
          <a:off x="47605950" y="181070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85</xdr:row>
      <xdr:rowOff>0</xdr:rowOff>
    </xdr:from>
    <xdr:ext cx="190500" cy="285750"/>
    <xdr:sp fLocksText="0">
      <xdr:nvSpPr>
        <xdr:cNvPr id="12" name="Szövegdoboz 12"/>
        <xdr:cNvSpPr txBox="1">
          <a:spLocks noChangeArrowheads="1"/>
        </xdr:cNvSpPr>
      </xdr:nvSpPr>
      <xdr:spPr>
        <a:xfrm>
          <a:off x="48387000" y="181070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86</xdr:row>
      <xdr:rowOff>0</xdr:rowOff>
    </xdr:from>
    <xdr:ext cx="190500" cy="285750"/>
    <xdr:sp fLocksText="0">
      <xdr:nvSpPr>
        <xdr:cNvPr id="13" name="Szövegdoboz 13"/>
        <xdr:cNvSpPr txBox="1">
          <a:spLocks noChangeArrowheads="1"/>
        </xdr:cNvSpPr>
      </xdr:nvSpPr>
      <xdr:spPr>
        <a:xfrm>
          <a:off x="47605950" y="18268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86</xdr:row>
      <xdr:rowOff>0</xdr:rowOff>
    </xdr:from>
    <xdr:ext cx="190500" cy="285750"/>
    <xdr:sp fLocksText="0">
      <xdr:nvSpPr>
        <xdr:cNvPr id="14" name="Szövegdoboz 14"/>
        <xdr:cNvSpPr txBox="1">
          <a:spLocks noChangeArrowheads="1"/>
        </xdr:cNvSpPr>
      </xdr:nvSpPr>
      <xdr:spPr>
        <a:xfrm>
          <a:off x="48387000" y="18268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86</xdr:row>
      <xdr:rowOff>0</xdr:rowOff>
    </xdr:from>
    <xdr:ext cx="190500" cy="285750"/>
    <xdr:sp fLocksText="0">
      <xdr:nvSpPr>
        <xdr:cNvPr id="15" name="Szövegdoboz 15"/>
        <xdr:cNvSpPr txBox="1">
          <a:spLocks noChangeArrowheads="1"/>
        </xdr:cNvSpPr>
      </xdr:nvSpPr>
      <xdr:spPr>
        <a:xfrm>
          <a:off x="47605950" y="18268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86</xdr:row>
      <xdr:rowOff>0</xdr:rowOff>
    </xdr:from>
    <xdr:ext cx="190500" cy="285750"/>
    <xdr:sp fLocksText="0">
      <xdr:nvSpPr>
        <xdr:cNvPr id="16" name="Szövegdoboz 16"/>
        <xdr:cNvSpPr txBox="1">
          <a:spLocks noChangeArrowheads="1"/>
        </xdr:cNvSpPr>
      </xdr:nvSpPr>
      <xdr:spPr>
        <a:xfrm>
          <a:off x="48387000" y="182689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87</xdr:row>
      <xdr:rowOff>0</xdr:rowOff>
    </xdr:from>
    <xdr:ext cx="190500" cy="285750"/>
    <xdr:sp fLocksText="0">
      <xdr:nvSpPr>
        <xdr:cNvPr id="17" name="Szövegdoboz 17"/>
        <xdr:cNvSpPr txBox="1">
          <a:spLocks noChangeArrowheads="1"/>
        </xdr:cNvSpPr>
      </xdr:nvSpPr>
      <xdr:spPr>
        <a:xfrm>
          <a:off x="47605950" y="18411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87</xdr:row>
      <xdr:rowOff>0</xdr:rowOff>
    </xdr:from>
    <xdr:ext cx="190500" cy="285750"/>
    <xdr:sp fLocksText="0">
      <xdr:nvSpPr>
        <xdr:cNvPr id="18" name="Szövegdoboz 18"/>
        <xdr:cNvSpPr txBox="1">
          <a:spLocks noChangeArrowheads="1"/>
        </xdr:cNvSpPr>
      </xdr:nvSpPr>
      <xdr:spPr>
        <a:xfrm>
          <a:off x="48387000" y="18411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87</xdr:row>
      <xdr:rowOff>0</xdr:rowOff>
    </xdr:from>
    <xdr:ext cx="190500" cy="285750"/>
    <xdr:sp fLocksText="0">
      <xdr:nvSpPr>
        <xdr:cNvPr id="19" name="Szövegdoboz 19"/>
        <xdr:cNvSpPr txBox="1">
          <a:spLocks noChangeArrowheads="1"/>
        </xdr:cNvSpPr>
      </xdr:nvSpPr>
      <xdr:spPr>
        <a:xfrm>
          <a:off x="47605950" y="18411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87</xdr:row>
      <xdr:rowOff>0</xdr:rowOff>
    </xdr:from>
    <xdr:ext cx="190500" cy="285750"/>
    <xdr:sp fLocksText="0">
      <xdr:nvSpPr>
        <xdr:cNvPr id="20" name="Szövegdoboz 20"/>
        <xdr:cNvSpPr txBox="1">
          <a:spLocks noChangeArrowheads="1"/>
        </xdr:cNvSpPr>
      </xdr:nvSpPr>
      <xdr:spPr>
        <a:xfrm>
          <a:off x="48387000" y="1841182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88</xdr:row>
      <xdr:rowOff>0</xdr:rowOff>
    </xdr:from>
    <xdr:ext cx="190500" cy="285750"/>
    <xdr:sp fLocksText="0">
      <xdr:nvSpPr>
        <xdr:cNvPr id="21" name="Szövegdoboz 21"/>
        <xdr:cNvSpPr txBox="1">
          <a:spLocks noChangeArrowheads="1"/>
        </xdr:cNvSpPr>
      </xdr:nvSpPr>
      <xdr:spPr>
        <a:xfrm>
          <a:off x="47605950" y="185547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88</xdr:row>
      <xdr:rowOff>0</xdr:rowOff>
    </xdr:from>
    <xdr:ext cx="190500" cy="285750"/>
    <xdr:sp fLocksText="0">
      <xdr:nvSpPr>
        <xdr:cNvPr id="22" name="Szövegdoboz 22"/>
        <xdr:cNvSpPr txBox="1">
          <a:spLocks noChangeArrowheads="1"/>
        </xdr:cNvSpPr>
      </xdr:nvSpPr>
      <xdr:spPr>
        <a:xfrm>
          <a:off x="48387000" y="185547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88</xdr:row>
      <xdr:rowOff>0</xdr:rowOff>
    </xdr:from>
    <xdr:ext cx="190500" cy="285750"/>
    <xdr:sp fLocksText="0">
      <xdr:nvSpPr>
        <xdr:cNvPr id="23" name="Szövegdoboz 23"/>
        <xdr:cNvSpPr txBox="1">
          <a:spLocks noChangeArrowheads="1"/>
        </xdr:cNvSpPr>
      </xdr:nvSpPr>
      <xdr:spPr>
        <a:xfrm>
          <a:off x="47605950" y="185547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88</xdr:row>
      <xdr:rowOff>0</xdr:rowOff>
    </xdr:from>
    <xdr:ext cx="190500" cy="285750"/>
    <xdr:sp fLocksText="0">
      <xdr:nvSpPr>
        <xdr:cNvPr id="24" name="Szövegdoboz 24"/>
        <xdr:cNvSpPr txBox="1">
          <a:spLocks noChangeArrowheads="1"/>
        </xdr:cNvSpPr>
      </xdr:nvSpPr>
      <xdr:spPr>
        <a:xfrm>
          <a:off x="48387000" y="1855470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56</xdr:col>
      <xdr:colOff>742950</xdr:colOff>
      <xdr:row>47</xdr:row>
      <xdr:rowOff>0</xdr:rowOff>
    </xdr:from>
    <xdr:ext cx="190500" cy="285750"/>
    <xdr:sp fLocksText="0">
      <xdr:nvSpPr>
        <xdr:cNvPr id="1" name="Szövegdoboz 1"/>
        <xdr:cNvSpPr txBox="1">
          <a:spLocks noChangeArrowheads="1"/>
        </xdr:cNvSpPr>
      </xdr:nvSpPr>
      <xdr:spPr>
        <a:xfrm>
          <a:off x="4760595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84</xdr:row>
      <xdr:rowOff>0</xdr:rowOff>
    </xdr:from>
    <xdr:ext cx="190500" cy="285750"/>
    <xdr:sp fLocksText="0">
      <xdr:nvSpPr>
        <xdr:cNvPr id="2" name="Szövegdoboz 2"/>
        <xdr:cNvSpPr txBox="1">
          <a:spLocks noChangeArrowheads="1"/>
        </xdr:cNvSpPr>
      </xdr:nvSpPr>
      <xdr:spPr>
        <a:xfrm>
          <a:off x="47605950" y="177831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47</xdr:row>
      <xdr:rowOff>0</xdr:rowOff>
    </xdr:from>
    <xdr:ext cx="190500" cy="285750"/>
    <xdr:sp fLocksText="0">
      <xdr:nvSpPr>
        <xdr:cNvPr id="3" name="Szövegdoboz 3"/>
        <xdr:cNvSpPr txBox="1">
          <a:spLocks noChangeArrowheads="1"/>
        </xdr:cNvSpPr>
      </xdr:nvSpPr>
      <xdr:spPr>
        <a:xfrm>
          <a:off x="4838700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84</xdr:row>
      <xdr:rowOff>0</xdr:rowOff>
    </xdr:from>
    <xdr:ext cx="190500" cy="285750"/>
    <xdr:sp fLocksText="0">
      <xdr:nvSpPr>
        <xdr:cNvPr id="4" name="Szövegdoboz 4"/>
        <xdr:cNvSpPr txBox="1">
          <a:spLocks noChangeArrowheads="1"/>
        </xdr:cNvSpPr>
      </xdr:nvSpPr>
      <xdr:spPr>
        <a:xfrm>
          <a:off x="48387000" y="177831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47</xdr:row>
      <xdr:rowOff>0</xdr:rowOff>
    </xdr:from>
    <xdr:ext cx="190500" cy="285750"/>
    <xdr:sp fLocksText="0">
      <xdr:nvSpPr>
        <xdr:cNvPr id="5" name="Szövegdoboz 5"/>
        <xdr:cNvSpPr txBox="1">
          <a:spLocks noChangeArrowheads="1"/>
        </xdr:cNvSpPr>
      </xdr:nvSpPr>
      <xdr:spPr>
        <a:xfrm>
          <a:off x="4760595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56</xdr:col>
      <xdr:colOff>742950</xdr:colOff>
      <xdr:row>84</xdr:row>
      <xdr:rowOff>0</xdr:rowOff>
    </xdr:from>
    <xdr:ext cx="190500" cy="285750"/>
    <xdr:sp fLocksText="0">
      <xdr:nvSpPr>
        <xdr:cNvPr id="6" name="Szövegdoboz 6"/>
        <xdr:cNvSpPr txBox="1">
          <a:spLocks noChangeArrowheads="1"/>
        </xdr:cNvSpPr>
      </xdr:nvSpPr>
      <xdr:spPr>
        <a:xfrm>
          <a:off x="47605950" y="177831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47</xdr:row>
      <xdr:rowOff>0</xdr:rowOff>
    </xdr:from>
    <xdr:ext cx="190500" cy="285750"/>
    <xdr:sp fLocksText="0">
      <xdr:nvSpPr>
        <xdr:cNvPr id="7" name="Szövegdoboz 7"/>
        <xdr:cNvSpPr txBox="1">
          <a:spLocks noChangeArrowheads="1"/>
        </xdr:cNvSpPr>
      </xdr:nvSpPr>
      <xdr:spPr>
        <a:xfrm>
          <a:off x="48387000" y="8972550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57</xdr:col>
      <xdr:colOff>742950</xdr:colOff>
      <xdr:row>84</xdr:row>
      <xdr:rowOff>0</xdr:rowOff>
    </xdr:from>
    <xdr:ext cx="190500" cy="285750"/>
    <xdr:sp fLocksText="0">
      <xdr:nvSpPr>
        <xdr:cNvPr id="8" name="Szövegdoboz 8"/>
        <xdr:cNvSpPr txBox="1">
          <a:spLocks noChangeArrowheads="1"/>
        </xdr:cNvSpPr>
      </xdr:nvSpPr>
      <xdr:spPr>
        <a:xfrm>
          <a:off x="48387000" y="17783175"/>
          <a:ext cx="190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mobil\GOMBA_2011\ktgv_2011\koltsegvetesi_munkatablak_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issi\c\Dokumentumok\1k&#246;lts&#233;gvet&#233;s\ktgvet&#233;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3_2011_II11_ktgvi_rendelet_melleklete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k%20mobil\GOMBA_2011\KEPVISELO_TESTULETI_ULESEK\februar10\Vegrehajtasi_anyagok\3_2011_II11_ktgvi_rendelet_melleklete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k%20mobil\GOMBA_2010\KEPVISELO_TESTULETI_ULESEK\kt_ules_szeptember9\2_feleves_beszamolo\2_2_feleves_beszamolo_teljesitesi_adata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k%20mobil\GOMBA_2011\KEPVISELO_TESTULETI_ULESEK\Kt_06_30\VEGREHAJTASI_ANYAGOK\3_2011_II11_ktgvi_rendelet_mellekletei_egyseges_063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Dok%20mobil\GOMBA_2011\ktgv_2011\koltsegvetesi_munkatablak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1_elemi_adatok"/>
      <sheetName val="2011_2a_mell"/>
      <sheetName val="B_int_működési"/>
      <sheetName val="B_Önk_sajátos"/>
      <sheetName val="B_kpi_tám"/>
      <sheetName val="B_mükc_tám_ért"/>
      <sheetName val="B_ÁHk_mük.c_pe"/>
      <sheetName val="B_előzőévi_normatíva"/>
      <sheetName val="B_immat"/>
      <sheetName val="B_felh_ÁFA"/>
      <sheetName val="B_szabad_pe_visszavonás"/>
      <sheetName val="B_felh_tám_ért"/>
      <sheetName val="B_ÁHk_felh_pe"/>
      <sheetName val="B_felh_kölcs_megtérül"/>
      <sheetName val="K_szjei"/>
      <sheetName val="K_jarulek"/>
      <sheetName val="K_dologi"/>
      <sheetName val="K_dologiból_kamatok"/>
      <sheetName val="K_Tésszocpol_jut"/>
      <sheetName val="K_mc_pe_átadás"/>
      <sheetName val="K_beruhazas"/>
      <sheetName val="K_felújítás"/>
      <sheetName val="K_felhalm_c_pe"/>
      <sheetName val="K_ált_tartalék"/>
      <sheetName val="K_céltartalék"/>
      <sheetName val="B_mükc_pénzmaradvány"/>
      <sheetName val="B_felh_c_pénzmaradvány"/>
      <sheetName val="B_műk_hitel"/>
      <sheetName val="B_felh_hitel"/>
      <sheetName val="K_felhalm_hitel"/>
      <sheetName val="B_vállalk_bevétel"/>
      <sheetName val="hitelkamatok"/>
    </sheetNames>
    <sheetDataSet>
      <sheetData sheetId="1">
        <row r="3">
          <cell r="G3">
            <v>581400</v>
          </cell>
        </row>
        <row r="4">
          <cell r="G4" t="str">
            <v>Folyóirat, időszaki kiadvány kiadása</v>
          </cell>
        </row>
        <row r="23">
          <cell r="R23">
            <v>53301</v>
          </cell>
        </row>
        <row r="24">
          <cell r="R24">
            <v>21694</v>
          </cell>
        </row>
        <row r="45">
          <cell r="AW45">
            <v>4600</v>
          </cell>
        </row>
        <row r="46">
          <cell r="AW46">
            <v>0</v>
          </cell>
        </row>
      </sheetData>
      <sheetData sheetId="20">
        <row r="6">
          <cell r="C6" t="str">
            <v>Útalap építés (Bercsényi u. vége)</v>
          </cell>
          <cell r="D6">
            <v>2000</v>
          </cell>
        </row>
        <row r="7">
          <cell r="C7" t="str">
            <v>Útalap építés (Gombai-Liliom köz) ktg 2/13-ada</v>
          </cell>
          <cell r="D7">
            <v>450</v>
          </cell>
        </row>
        <row r="10">
          <cell r="C10" t="str">
            <v>Rendezvényház eszközbeszerzése </v>
          </cell>
        </row>
        <row r="14">
          <cell r="C14" t="str">
            <v>KEOP I. forduló megvalósítás saját forrás </v>
          </cell>
          <cell r="D14">
            <v>1703</v>
          </cell>
        </row>
        <row r="15">
          <cell r="C15" t="str">
            <v>Rendezvényház I. rész II. ütem</v>
          </cell>
          <cell r="D15">
            <v>24575</v>
          </cell>
        </row>
        <row r="16">
          <cell r="C16" t="str">
            <v>Rendezvényház I. rész III. ütem</v>
          </cell>
          <cell r="D16">
            <v>5920</v>
          </cell>
        </row>
        <row r="17">
          <cell r="C17" t="str">
            <v>Rendezvényház I. rész ÁFA</v>
          </cell>
          <cell r="D17">
            <v>7623.75</v>
          </cell>
        </row>
        <row r="18">
          <cell r="C18" t="str">
            <v>Rendezvényház II. rész </v>
          </cell>
          <cell r="D18">
            <v>18080</v>
          </cell>
        </row>
        <row r="19">
          <cell r="C19" t="str">
            <v>Rendezvényház III. rész </v>
          </cell>
          <cell r="D19">
            <v>18846</v>
          </cell>
        </row>
        <row r="20">
          <cell r="C20" t="str">
            <v>Rendezvényház IV. rész </v>
          </cell>
          <cell r="D20">
            <v>9422</v>
          </cell>
        </row>
        <row r="21">
          <cell r="C21" t="str">
            <v>Rendezvényház II_IV. rész ÁFA</v>
          </cell>
          <cell r="D21">
            <v>11587</v>
          </cell>
        </row>
        <row r="22">
          <cell r="C22" t="str">
            <v>Rendezvényház V. rész </v>
          </cell>
          <cell r="D22">
            <v>4998</v>
          </cell>
        </row>
        <row r="23">
          <cell r="C23" t="str">
            <v>Rendezvényház V. rész ÁFA</v>
          </cell>
          <cell r="D23">
            <v>1249.5</v>
          </cell>
        </row>
        <row r="24">
          <cell r="C24" t="str">
            <v>Rendezvényház építés szakértői díjai</v>
          </cell>
          <cell r="D24">
            <v>2625</v>
          </cell>
        </row>
        <row r="25">
          <cell r="C25" t="str">
            <v>Rendezvényház villany-gáz közműfejlesztés</v>
          </cell>
          <cell r="D25">
            <v>1000</v>
          </cell>
        </row>
        <row r="26">
          <cell r="C26" t="str">
            <v>Kölcsey partfalomlás helyreállítás hiányzó fedezete</v>
          </cell>
          <cell r="D26">
            <v>2688</v>
          </cell>
        </row>
        <row r="27">
          <cell r="C27" t="str">
            <v>Aratóházaspár utca szennyvízbővítés</v>
          </cell>
          <cell r="D27">
            <v>1875</v>
          </cell>
        </row>
        <row r="28">
          <cell r="C28" t="str">
            <v>Aratóházaspár utca szennyvízbővítés</v>
          </cell>
          <cell r="D28">
            <v>300</v>
          </cell>
        </row>
        <row r="29">
          <cell r="C29" t="str">
            <v>Gombai-Liliom köz víz-csatorna bővítés 2/13-ad része</v>
          </cell>
          <cell r="D29">
            <v>1200</v>
          </cell>
        </row>
        <row r="30">
          <cell r="C30" t="str">
            <v>Bercsényi vége víz-csatorna bővítés </v>
          </cell>
          <cell r="D30">
            <v>5625</v>
          </cell>
        </row>
        <row r="31">
          <cell r="C31" t="str">
            <v>Fénymásoló beszerzés</v>
          </cell>
          <cell r="D31">
            <v>706</v>
          </cell>
        </row>
        <row r="32">
          <cell r="C32" t="str">
            <v>Informatikai eszközbeszerzés </v>
          </cell>
          <cell r="D32">
            <v>300</v>
          </cell>
        </row>
        <row r="33">
          <cell r="C33" t="str">
            <v>Közvilágítás bővítés</v>
          </cell>
          <cell r="D33">
            <v>900</v>
          </cell>
        </row>
        <row r="36">
          <cell r="C36" t="str">
            <v>Faluház riasztó bővítés</v>
          </cell>
          <cell r="D36">
            <v>100</v>
          </cell>
        </row>
        <row r="39">
          <cell r="C39" t="str">
            <v>Bercsényi utca vége tereprendezés</v>
          </cell>
          <cell r="D39">
            <v>500</v>
          </cell>
        </row>
      </sheetData>
      <sheetData sheetId="21">
        <row r="5">
          <cell r="C5" t="str">
            <v>Polgármesteri Hivatal felújítás </v>
          </cell>
          <cell r="D5">
            <v>500</v>
          </cell>
        </row>
        <row r="6">
          <cell r="C6" t="str">
            <v>Felsőfarkasd iskolaépület felújítás</v>
          </cell>
          <cell r="D6">
            <v>400</v>
          </cell>
        </row>
        <row r="7">
          <cell r="C7" t="str">
            <v>Óvoda felújítás (tornaterem szigetelés, elektromos hálózat, udvar)</v>
          </cell>
          <cell r="D7">
            <v>1000</v>
          </cell>
        </row>
        <row r="8">
          <cell r="C8" t="str">
            <v>Szemere Huba pinceomlás</v>
          </cell>
        </row>
        <row r="9">
          <cell r="C9" t="str">
            <v>Szemők Balázs tér - pihenő terület</v>
          </cell>
          <cell r="D9">
            <v>90</v>
          </cell>
        </row>
        <row r="10">
          <cell r="C10" t="str">
            <v>Jókai u. 21. felújítása </v>
          </cell>
          <cell r="D10">
            <v>1000</v>
          </cell>
        </row>
        <row r="11">
          <cell r="C11" t="str">
            <v>Gombai úti - Jókai úti járda felújítás fedezete</v>
          </cell>
          <cell r="D11">
            <v>2464</v>
          </cell>
        </row>
        <row r="14">
          <cell r="C14" t="str">
            <v>Felsőfarkasdi ravatalozó ajtó és előtető felújítás</v>
          </cell>
          <cell r="D14">
            <v>200</v>
          </cell>
        </row>
        <row r="15">
          <cell r="C15" t="str">
            <v>Rákóczi úti temető ravatalozó felújítás </v>
          </cell>
          <cell r="D15">
            <v>400</v>
          </cell>
        </row>
      </sheetData>
      <sheetData sheetId="22">
        <row r="7">
          <cell r="C7" t="str">
            <v>Általános iskola fejlesztési c. pénzeszköz átadás</v>
          </cell>
          <cell r="D7">
            <v>4508.542431356101</v>
          </cell>
        </row>
        <row r="8">
          <cell r="C8" t="str">
            <v>Életjáradék</v>
          </cell>
          <cell r="D8">
            <v>652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szakfössz"/>
      <sheetName val="szemzs"/>
      <sheetName val="szemszámol"/>
      <sheetName val="szemjav"/>
      <sheetName val="átírürlap"/>
      <sheetName val="másürlap"/>
      <sheetName val="452025"/>
      <sheetName val="551414"/>
      <sheetName val="631211"/>
      <sheetName val="751142"/>
      <sheetName val="751153"/>
      <sheetName val="751164"/>
      <sheetName val="751845"/>
      <sheetName val="751867"/>
      <sheetName val="751878"/>
      <sheetName val="751922"/>
      <sheetName val="751966"/>
      <sheetName val="üres"/>
      <sheetName val="851231"/>
      <sheetName val="851219"/>
      <sheetName val="851297"/>
      <sheetName val="852018"/>
      <sheetName val="853224"/>
      <sheetName val="853235"/>
      <sheetName val="853246"/>
      <sheetName val="853257"/>
      <sheetName val="853279"/>
      <sheetName val="853280"/>
      <sheetName val="901116"/>
      <sheetName val="901215"/>
      <sheetName val="930921"/>
      <sheetName val="szocszakf"/>
      <sheetName val="ellenőr"/>
      <sheetName val="szemeredeti"/>
    </sheetNames>
    <sheetDataSet>
      <sheetData sheetId="0">
        <row r="123">
          <cell r="D123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1_ktgv_részletező_tábla"/>
      <sheetName val="1m_cimrend"/>
      <sheetName val="2m_alcím_és kiemelt_ei bontás "/>
      <sheetName val="3m_bevételek"/>
      <sheetName val="4m_kiadások"/>
      <sheetName val="5m_felhalm_felujitas"/>
      <sheetName val="6_m_PmH"/>
      <sheetName val="7-8_m_Óvoda_CKÖ"/>
      <sheetName val="9m_ktgv_i_mérleg"/>
      <sheetName val="10m_többéves_kihatás"/>
      <sheetName val="11m_gördülő_tervezés"/>
      <sheetName val="12m_engedélyezett_lsz"/>
      <sheetName val="13m_közvetett tám"/>
      <sheetName val="14m_ei_felh_ütemterv"/>
    </sheetNames>
    <sheetDataSet>
      <sheetData sheetId="0">
        <row r="6">
          <cell r="BG6">
            <v>36466.317</v>
          </cell>
        </row>
        <row r="7">
          <cell r="BG7">
            <v>308.34</v>
          </cell>
        </row>
        <row r="8">
          <cell r="BG8">
            <v>2757.5</v>
          </cell>
        </row>
        <row r="9">
          <cell r="BG9">
            <v>6286.005</v>
          </cell>
        </row>
        <row r="10">
          <cell r="BG10">
            <v>20830.940000000002</v>
          </cell>
        </row>
        <row r="11">
          <cell r="BG11">
            <v>5613.532</v>
          </cell>
        </row>
        <row r="12">
          <cell r="BG12">
            <v>670</v>
          </cell>
        </row>
        <row r="13">
          <cell r="BG13">
            <v>144891.02</v>
          </cell>
        </row>
        <row r="14">
          <cell r="BG14">
            <v>26705</v>
          </cell>
        </row>
        <row r="15">
          <cell r="BG15">
            <v>300</v>
          </cell>
        </row>
        <row r="16">
          <cell r="BG16">
            <v>16500</v>
          </cell>
        </row>
        <row r="17">
          <cell r="BG17">
            <v>29636</v>
          </cell>
        </row>
        <row r="18">
          <cell r="BG18">
            <v>67022</v>
          </cell>
        </row>
        <row r="19">
          <cell r="BG19">
            <v>200</v>
          </cell>
        </row>
        <row r="20">
          <cell r="BG20">
            <v>1000</v>
          </cell>
        </row>
        <row r="21">
          <cell r="BG21">
            <v>3528.0199999999995</v>
          </cell>
        </row>
        <row r="22">
          <cell r="BG22">
            <v>74995</v>
          </cell>
        </row>
        <row r="23">
          <cell r="BG23">
            <v>53301</v>
          </cell>
        </row>
        <row r="24">
          <cell r="BG24">
            <v>21694</v>
          </cell>
        </row>
        <row r="25">
          <cell r="BG25">
            <v>0</v>
          </cell>
        </row>
        <row r="26">
          <cell r="BG26">
            <v>13666.75</v>
          </cell>
        </row>
        <row r="27">
          <cell r="BG27">
            <v>3735</v>
          </cell>
        </row>
        <row r="28">
          <cell r="BG28">
            <v>231</v>
          </cell>
        </row>
        <row r="29">
          <cell r="BG29">
            <v>5960.75</v>
          </cell>
        </row>
        <row r="30">
          <cell r="BG30">
            <v>3740</v>
          </cell>
        </row>
        <row r="31">
          <cell r="BG31">
            <v>474</v>
          </cell>
        </row>
        <row r="32">
          <cell r="BG32">
            <v>474</v>
          </cell>
        </row>
        <row r="33">
          <cell r="BG33">
            <v>2282</v>
          </cell>
        </row>
        <row r="34">
          <cell r="BG34">
            <v>2282</v>
          </cell>
        </row>
        <row r="35">
          <cell r="BG35">
            <v>0</v>
          </cell>
        </row>
        <row r="36">
          <cell r="BG36">
            <v>0</v>
          </cell>
        </row>
        <row r="38">
          <cell r="BG38">
            <v>16670</v>
          </cell>
        </row>
        <row r="39">
          <cell r="BG39">
            <v>16670</v>
          </cell>
        </row>
        <row r="40">
          <cell r="BG40">
            <v>14759.6875</v>
          </cell>
        </row>
        <row r="41">
          <cell r="BG41">
            <v>14759.6875</v>
          </cell>
        </row>
        <row r="42">
          <cell r="BG42">
            <v>0</v>
          </cell>
        </row>
        <row r="43">
          <cell r="BG43">
            <v>0</v>
          </cell>
        </row>
        <row r="44">
          <cell r="BG44">
            <v>4600</v>
          </cell>
        </row>
        <row r="45">
          <cell r="BG45">
            <v>4600</v>
          </cell>
        </row>
        <row r="46">
          <cell r="BG46">
            <v>0</v>
          </cell>
        </row>
        <row r="48">
          <cell r="BG48">
            <v>20</v>
          </cell>
        </row>
        <row r="49">
          <cell r="BG49">
            <v>20</v>
          </cell>
        </row>
        <row r="50">
          <cell r="BG50">
            <v>308824.7745</v>
          </cell>
        </row>
        <row r="55">
          <cell r="BG55">
            <v>270230.982555157</v>
          </cell>
        </row>
        <row r="56">
          <cell r="BG56">
            <v>107914.07132639273</v>
          </cell>
        </row>
        <row r="57">
          <cell r="BG57">
            <v>29967.714366052016</v>
          </cell>
        </row>
        <row r="58">
          <cell r="BG58">
            <v>86853.382</v>
          </cell>
        </row>
        <row r="59">
          <cell r="BG59">
            <v>7060</v>
          </cell>
        </row>
        <row r="60">
          <cell r="BG60">
            <v>32506.73</v>
          </cell>
        </row>
        <row r="61">
          <cell r="BG61">
            <v>12989.084862712201</v>
          </cell>
        </row>
        <row r="62">
          <cell r="BG62">
            <v>137154.7924313561</v>
          </cell>
        </row>
        <row r="63">
          <cell r="BG63">
            <v>124773.25</v>
          </cell>
        </row>
        <row r="64">
          <cell r="BG64">
            <v>7221</v>
          </cell>
        </row>
        <row r="65">
          <cell r="BG65">
            <v>5160.542431356101</v>
          </cell>
        </row>
        <row r="66">
          <cell r="BG66">
            <v>22789.77549</v>
          </cell>
        </row>
        <row r="67">
          <cell r="BG67">
            <v>8789.77549</v>
          </cell>
        </row>
        <row r="68">
          <cell r="BG68">
            <v>14000</v>
          </cell>
        </row>
        <row r="69">
          <cell r="BG69">
            <v>430175.5504765131</v>
          </cell>
        </row>
        <row r="71">
          <cell r="BG71">
            <v>-121350.7759765131</v>
          </cell>
        </row>
        <row r="74">
          <cell r="BG74">
            <v>87543</v>
          </cell>
        </row>
        <row r="75">
          <cell r="BG75">
            <v>55886</v>
          </cell>
        </row>
        <row r="76">
          <cell r="BG76">
            <v>31657</v>
          </cell>
        </row>
        <row r="79">
          <cell r="BG79">
            <v>42743</v>
          </cell>
        </row>
        <row r="80">
          <cell r="BG80">
            <v>0</v>
          </cell>
        </row>
        <row r="81">
          <cell r="BG81">
            <v>14000</v>
          </cell>
        </row>
        <row r="82">
          <cell r="BG82">
            <v>28743</v>
          </cell>
        </row>
        <row r="83">
          <cell r="BG83">
            <v>439110.7745</v>
          </cell>
        </row>
        <row r="85">
          <cell r="BG85">
            <v>8935.067</v>
          </cell>
        </row>
        <row r="86">
          <cell r="BG86">
            <v>0</v>
          </cell>
        </row>
        <row r="87">
          <cell r="BG87">
            <v>8935.067</v>
          </cell>
        </row>
        <row r="88">
          <cell r="BG88">
            <v>0</v>
          </cell>
        </row>
        <row r="89">
          <cell r="BG89">
            <v>439110.6174765131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1_ktgv_részletező_tábla"/>
      <sheetName val="1m_cimrend"/>
      <sheetName val="2m_alcím_és kiemelt_ei bontás "/>
      <sheetName val="3m_bevételek"/>
      <sheetName val="4m_kiadások"/>
      <sheetName val="5m_felhalm_felujitas"/>
      <sheetName val="6_m_PmH"/>
      <sheetName val="7-8_m_Óvoda_CKÖ"/>
      <sheetName val="9m_ktgv_i_mérleg"/>
      <sheetName val="10m_többéves_kihatás"/>
      <sheetName val="11m_gördülő_tervezés"/>
      <sheetName val="12m_engedélyezett_lsz"/>
      <sheetName val="13m_közvetett tám"/>
      <sheetName val="14m_ei_felh_ütemterv"/>
    </sheetNames>
    <sheetDataSet>
      <sheetData sheetId="0">
        <row r="6">
          <cell r="AW6">
            <v>29842.777000000002</v>
          </cell>
          <cell r="BB6">
            <v>6623.54</v>
          </cell>
          <cell r="BD6">
            <v>0</v>
          </cell>
        </row>
        <row r="7">
          <cell r="AW7">
            <v>308.34</v>
          </cell>
          <cell r="BB7">
            <v>0</v>
          </cell>
          <cell r="BD7">
            <v>0</v>
          </cell>
        </row>
        <row r="8">
          <cell r="AW8">
            <v>2757.5</v>
          </cell>
          <cell r="BB8">
            <v>0</v>
          </cell>
          <cell r="BD8">
            <v>0</v>
          </cell>
        </row>
        <row r="9">
          <cell r="AW9">
            <v>6286.005</v>
          </cell>
          <cell r="BB9">
            <v>0</v>
          </cell>
          <cell r="BD9">
            <v>0</v>
          </cell>
        </row>
        <row r="10">
          <cell r="AW10">
            <v>14207.400000000001</v>
          </cell>
          <cell r="BB10">
            <v>6623.54</v>
          </cell>
          <cell r="BD10">
            <v>0</v>
          </cell>
        </row>
        <row r="11">
          <cell r="AW11">
            <v>5613.532</v>
          </cell>
          <cell r="BB11">
            <v>0</v>
          </cell>
          <cell r="BD11">
            <v>0</v>
          </cell>
        </row>
        <row r="12">
          <cell r="AW12">
            <v>670</v>
          </cell>
          <cell r="BB12">
            <v>0</v>
          </cell>
          <cell r="BD12">
            <v>0</v>
          </cell>
        </row>
        <row r="13">
          <cell r="AW13">
            <v>144891.02</v>
          </cell>
          <cell r="BB13">
            <v>0</v>
          </cell>
          <cell r="BD13">
            <v>0</v>
          </cell>
        </row>
        <row r="14">
          <cell r="AW14">
            <v>26705</v>
          </cell>
          <cell r="BB14">
            <v>0</v>
          </cell>
          <cell r="BD14">
            <v>0</v>
          </cell>
        </row>
        <row r="15">
          <cell r="AW15">
            <v>300</v>
          </cell>
          <cell r="BB15">
            <v>0</v>
          </cell>
          <cell r="BD15">
            <v>0</v>
          </cell>
        </row>
        <row r="16">
          <cell r="AW16">
            <v>16500</v>
          </cell>
          <cell r="BB16">
            <v>0</v>
          </cell>
          <cell r="BD16">
            <v>0</v>
          </cell>
        </row>
        <row r="17">
          <cell r="AW17">
            <v>29636</v>
          </cell>
          <cell r="BB17">
            <v>0</v>
          </cell>
          <cell r="BD17">
            <v>0</v>
          </cell>
        </row>
        <row r="18">
          <cell r="AW18">
            <v>67022</v>
          </cell>
          <cell r="BB18">
            <v>0</v>
          </cell>
          <cell r="BD18">
            <v>0</v>
          </cell>
        </row>
        <row r="19">
          <cell r="AW19">
            <v>200</v>
          </cell>
          <cell r="BB19">
            <v>0</v>
          </cell>
          <cell r="BD19">
            <v>0</v>
          </cell>
        </row>
        <row r="20">
          <cell r="AW20">
            <v>1000</v>
          </cell>
          <cell r="BB20">
            <v>0</v>
          </cell>
          <cell r="BD20">
            <v>0</v>
          </cell>
        </row>
        <row r="21">
          <cell r="AW21">
            <v>3528.0199999999995</v>
          </cell>
          <cell r="BB21">
            <v>0</v>
          </cell>
          <cell r="BD21">
            <v>0</v>
          </cell>
        </row>
        <row r="22">
          <cell r="AW22">
            <v>74995</v>
          </cell>
          <cell r="BB22">
            <v>0</v>
          </cell>
          <cell r="BD22">
            <v>0</v>
          </cell>
        </row>
        <row r="23">
          <cell r="AW23">
            <v>53301</v>
          </cell>
          <cell r="BB23">
            <v>0</v>
          </cell>
          <cell r="BD23">
            <v>0</v>
          </cell>
        </row>
        <row r="24">
          <cell r="AW24">
            <v>21694</v>
          </cell>
          <cell r="BB24">
            <v>0</v>
          </cell>
          <cell r="BD24">
            <v>0</v>
          </cell>
        </row>
        <row r="25">
          <cell r="AW25">
            <v>0</v>
          </cell>
          <cell r="BB25">
            <v>0</v>
          </cell>
          <cell r="BD25">
            <v>0</v>
          </cell>
        </row>
        <row r="26">
          <cell r="AW26">
            <v>9721.75</v>
          </cell>
          <cell r="BB26">
            <v>3735</v>
          </cell>
          <cell r="BD26">
            <v>210</v>
          </cell>
        </row>
        <row r="27">
          <cell r="AW27">
            <v>0</v>
          </cell>
          <cell r="BB27">
            <v>3735</v>
          </cell>
          <cell r="BD27">
            <v>0</v>
          </cell>
        </row>
        <row r="28">
          <cell r="AW28">
            <v>21</v>
          </cell>
          <cell r="BB28">
            <v>0</v>
          </cell>
          <cell r="BD28">
            <v>210</v>
          </cell>
        </row>
        <row r="29">
          <cell r="AW29">
            <v>5960.75</v>
          </cell>
          <cell r="BB29">
            <v>0</v>
          </cell>
          <cell r="BD29">
            <v>0</v>
          </cell>
        </row>
        <row r="30">
          <cell r="AW30">
            <v>3740</v>
          </cell>
          <cell r="BB30">
            <v>0</v>
          </cell>
          <cell r="BD30">
            <v>0</v>
          </cell>
        </row>
        <row r="31">
          <cell r="AW31">
            <v>474</v>
          </cell>
          <cell r="BB31">
            <v>0</v>
          </cell>
          <cell r="BD31">
            <v>0</v>
          </cell>
        </row>
        <row r="32">
          <cell r="AW32">
            <v>474</v>
          </cell>
          <cell r="BB32">
            <v>0</v>
          </cell>
          <cell r="BD32">
            <v>0</v>
          </cell>
        </row>
        <row r="33">
          <cell r="AW33">
            <v>2282</v>
          </cell>
          <cell r="BB33">
            <v>0</v>
          </cell>
          <cell r="BD33">
            <v>0</v>
          </cell>
        </row>
        <row r="34">
          <cell r="AW34">
            <v>2282</v>
          </cell>
          <cell r="BB34">
            <v>0</v>
          </cell>
          <cell r="BD34">
            <v>0</v>
          </cell>
        </row>
        <row r="35">
          <cell r="AW35">
            <v>0</v>
          </cell>
          <cell r="BB35">
            <v>0</v>
          </cell>
          <cell r="BD35">
            <v>0</v>
          </cell>
        </row>
        <row r="36">
          <cell r="AW36">
            <v>0</v>
          </cell>
          <cell r="BB36">
            <v>0</v>
          </cell>
          <cell r="BD36">
            <v>0</v>
          </cell>
        </row>
        <row r="38">
          <cell r="AW38">
            <v>16670</v>
          </cell>
          <cell r="BB38">
            <v>0</v>
          </cell>
          <cell r="BD38">
            <v>0</v>
          </cell>
        </row>
        <row r="39">
          <cell r="AW39">
            <v>16670</v>
          </cell>
          <cell r="BB39">
            <v>0</v>
          </cell>
          <cell r="BD39">
            <v>0</v>
          </cell>
        </row>
        <row r="40">
          <cell r="AW40">
            <v>14759.6875</v>
          </cell>
          <cell r="BB40">
            <v>0</v>
          </cell>
          <cell r="BD40">
            <v>0</v>
          </cell>
        </row>
        <row r="41">
          <cell r="AW41">
            <v>14759.6875</v>
          </cell>
          <cell r="BB41">
            <v>0</v>
          </cell>
          <cell r="BD41">
            <v>0</v>
          </cell>
        </row>
        <row r="42">
          <cell r="AW42">
            <v>0</v>
          </cell>
          <cell r="BB42">
            <v>0</v>
          </cell>
          <cell r="BD42">
            <v>0</v>
          </cell>
        </row>
        <row r="43">
          <cell r="AW43">
            <v>0</v>
          </cell>
          <cell r="BB43">
            <v>0</v>
          </cell>
          <cell r="BD43">
            <v>0</v>
          </cell>
        </row>
        <row r="44">
          <cell r="AW44">
            <v>4600</v>
          </cell>
          <cell r="BB44">
            <v>0</v>
          </cell>
          <cell r="BD44">
            <v>0</v>
          </cell>
        </row>
        <row r="45">
          <cell r="AW45">
            <v>4600</v>
          </cell>
          <cell r="BB45">
            <v>0</v>
          </cell>
          <cell r="BD45">
            <v>0</v>
          </cell>
        </row>
        <row r="46">
          <cell r="AW46">
            <v>0</v>
          </cell>
          <cell r="BB46">
            <v>0</v>
          </cell>
          <cell r="BD46">
            <v>0</v>
          </cell>
        </row>
        <row r="48">
          <cell r="AW48">
            <v>20</v>
          </cell>
          <cell r="BB48">
            <v>0</v>
          </cell>
          <cell r="BD48">
            <v>0</v>
          </cell>
        </row>
        <row r="49">
          <cell r="AW49">
            <v>20</v>
          </cell>
          <cell r="BB49">
            <v>0</v>
          </cell>
          <cell r="BD49">
            <v>0</v>
          </cell>
        </row>
        <row r="50">
          <cell r="AW50">
            <v>298256.2345</v>
          </cell>
          <cell r="BB50">
            <v>10358.54</v>
          </cell>
          <cell r="BD50">
            <v>210</v>
          </cell>
        </row>
        <row r="55">
          <cell r="AW55">
            <v>215731.49381715694</v>
          </cell>
          <cell r="BB55">
            <v>54200.488738</v>
          </cell>
          <cell r="BD55">
            <v>299</v>
          </cell>
        </row>
        <row r="56">
          <cell r="AW56">
            <v>70466.92182639273</v>
          </cell>
          <cell r="BB56">
            <v>37447.1495</v>
          </cell>
          <cell r="BD56">
            <v>0</v>
          </cell>
        </row>
        <row r="57">
          <cell r="AW57">
            <v>19744.230128052015</v>
          </cell>
          <cell r="BB57">
            <v>10212.484238</v>
          </cell>
          <cell r="BD57">
            <v>11</v>
          </cell>
        </row>
        <row r="58">
          <cell r="AW58">
            <v>80028.527</v>
          </cell>
          <cell r="BB58">
            <v>6540.855</v>
          </cell>
          <cell r="BD58">
            <v>284</v>
          </cell>
        </row>
        <row r="59">
          <cell r="AW59">
            <v>7060</v>
          </cell>
          <cell r="BB59">
            <v>0</v>
          </cell>
          <cell r="BD59">
            <v>0</v>
          </cell>
        </row>
        <row r="60">
          <cell r="AW60">
            <v>32506.73</v>
          </cell>
          <cell r="BB60">
            <v>0</v>
          </cell>
          <cell r="BD60">
            <v>0</v>
          </cell>
        </row>
        <row r="61">
          <cell r="AW61">
            <v>12985.084862712201</v>
          </cell>
          <cell r="BB61">
            <v>0</v>
          </cell>
          <cell r="BD61">
            <v>4</v>
          </cell>
        </row>
        <row r="62">
          <cell r="AW62">
            <v>137154.7924313561</v>
          </cell>
          <cell r="BB62">
            <v>0</v>
          </cell>
          <cell r="BD62">
            <v>0</v>
          </cell>
        </row>
        <row r="63">
          <cell r="AW63">
            <v>124773.25</v>
          </cell>
          <cell r="BB63">
            <v>0</v>
          </cell>
          <cell r="BD63">
            <v>0</v>
          </cell>
        </row>
        <row r="64">
          <cell r="AW64">
            <v>7221</v>
          </cell>
          <cell r="BB64">
            <v>0</v>
          </cell>
          <cell r="BD64">
            <v>0</v>
          </cell>
        </row>
        <row r="65">
          <cell r="AW65">
            <v>5160.542431356101</v>
          </cell>
          <cell r="BB65">
            <v>0</v>
          </cell>
          <cell r="BD65">
            <v>0</v>
          </cell>
        </row>
        <row r="66">
          <cell r="AW66">
            <v>22789.77549</v>
          </cell>
          <cell r="BB66">
            <v>0</v>
          </cell>
          <cell r="BD66">
            <v>0</v>
          </cell>
        </row>
        <row r="67">
          <cell r="AW67">
            <v>8789.77549</v>
          </cell>
          <cell r="BB67">
            <v>0</v>
          </cell>
          <cell r="BD67">
            <v>0</v>
          </cell>
        </row>
        <row r="68">
          <cell r="AW68">
            <v>14000</v>
          </cell>
          <cell r="BB68">
            <v>0</v>
          </cell>
          <cell r="BD68">
            <v>0</v>
          </cell>
        </row>
        <row r="69">
          <cell r="AW69">
            <v>375676.06173851306</v>
          </cell>
          <cell r="BD69">
            <v>299</v>
          </cell>
        </row>
        <row r="74">
          <cell r="AW74">
            <v>87454</v>
          </cell>
          <cell r="BE74">
            <v>89</v>
          </cell>
        </row>
        <row r="75">
          <cell r="AW75">
            <v>55797</v>
          </cell>
          <cell r="BE75">
            <v>89</v>
          </cell>
        </row>
        <row r="76">
          <cell r="AW76">
            <v>31657</v>
          </cell>
          <cell r="BE76">
            <v>0</v>
          </cell>
        </row>
        <row r="79">
          <cell r="AW79">
            <v>42743</v>
          </cell>
        </row>
        <row r="80">
          <cell r="AW80">
            <v>0</v>
          </cell>
        </row>
        <row r="81">
          <cell r="AW81">
            <v>14000</v>
          </cell>
        </row>
        <row r="82">
          <cell r="AW82">
            <v>28743</v>
          </cell>
        </row>
        <row r="85">
          <cell r="AW85">
            <v>8935.067</v>
          </cell>
        </row>
        <row r="86">
          <cell r="AW86">
            <v>0</v>
          </cell>
        </row>
        <row r="87">
          <cell r="AW87">
            <v>8935.067</v>
          </cell>
        </row>
        <row r="88">
          <cell r="AW88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_melléklet_bevételek"/>
      <sheetName val="2_melléklet_kiadások"/>
      <sheetName val="3_melléklet_felhalm_felujit (2)"/>
      <sheetName val="4_melléklet_PmH"/>
      <sheetName val="5_melléklet_ktgv_i_mérleg"/>
      <sheetName val="6mell_teljesítési adatok"/>
      <sheetName val="7mell_teljesítési adatok_%ban"/>
      <sheetName val="2010_2a_mell_eredetiei"/>
      <sheetName val="2010_2a_mell_IIInevesei"/>
    </sheetNames>
    <sheetDataSet>
      <sheetData sheetId="7">
        <row r="3">
          <cell r="C3">
            <v>421100</v>
          </cell>
          <cell r="D3">
            <v>552110</v>
          </cell>
          <cell r="F3">
            <v>562917</v>
          </cell>
          <cell r="G3">
            <v>682001</v>
          </cell>
          <cell r="H3">
            <v>682002</v>
          </cell>
          <cell r="I3">
            <v>750000</v>
          </cell>
          <cell r="J3">
            <v>841112</v>
          </cell>
          <cell r="K3">
            <v>841126</v>
          </cell>
          <cell r="M3">
            <v>841133</v>
          </cell>
          <cell r="N3">
            <v>841191</v>
          </cell>
          <cell r="P3">
            <v>841402</v>
          </cell>
          <cell r="Q3">
            <v>841403</v>
          </cell>
          <cell r="R3">
            <v>841901</v>
          </cell>
          <cell r="S3">
            <v>841906</v>
          </cell>
          <cell r="V3">
            <v>841908</v>
          </cell>
          <cell r="W3">
            <v>854234</v>
          </cell>
          <cell r="X3">
            <v>869041</v>
          </cell>
          <cell r="Y3">
            <v>882111</v>
          </cell>
          <cell r="Z3">
            <v>882112</v>
          </cell>
          <cell r="AA3">
            <v>882113</v>
          </cell>
          <cell r="AB3">
            <v>882114</v>
          </cell>
          <cell r="AC3">
            <v>882115</v>
          </cell>
          <cell r="AD3">
            <v>882116</v>
          </cell>
          <cell r="AE3">
            <v>882117</v>
          </cell>
          <cell r="AF3">
            <v>882118</v>
          </cell>
          <cell r="AG3">
            <v>882119</v>
          </cell>
          <cell r="AH3">
            <v>882121</v>
          </cell>
          <cell r="AI3">
            <v>882122</v>
          </cell>
          <cell r="AJ3">
            <v>882123</v>
          </cell>
          <cell r="AK3">
            <v>882124</v>
          </cell>
          <cell r="AL3">
            <v>882125</v>
          </cell>
          <cell r="AM3">
            <v>882129</v>
          </cell>
          <cell r="AN3">
            <v>882202</v>
          </cell>
          <cell r="AO3">
            <v>882203</v>
          </cell>
          <cell r="AP3">
            <v>889921</v>
          </cell>
          <cell r="AQ3">
            <v>889928</v>
          </cell>
          <cell r="AR3">
            <v>889969</v>
          </cell>
          <cell r="AS3">
            <v>890301</v>
          </cell>
          <cell r="AT3">
            <v>890441</v>
          </cell>
          <cell r="AU3">
            <v>890442</v>
          </cell>
          <cell r="AV3">
            <v>910123</v>
          </cell>
          <cell r="AX3">
            <v>910502</v>
          </cell>
          <cell r="AY3">
            <v>960302</v>
          </cell>
        </row>
        <row r="4">
          <cell r="C4" t="str">
            <v>útépítés</v>
          </cell>
          <cell r="D4" t="str">
            <v>útfenntartás</v>
          </cell>
          <cell r="F4" t="str">
            <v>munkahelyi étkeztetés</v>
          </cell>
          <cell r="G4" t="str">
            <v>lakóingatlan bérbeadása, üzemeltetése</v>
          </cell>
          <cell r="H4" t="str">
            <v>Nem lakóingatlan bérbeadása, üzemeltetése</v>
          </cell>
          <cell r="I4" t="str">
            <v>Állat-egészségügyi ellátás</v>
          </cell>
          <cell r="J4" t="str">
            <v>önkormányzati jogalkotás</v>
          </cell>
          <cell r="K4" t="str">
            <v>önk. Igazgatási tevékenység</v>
          </cell>
          <cell r="M4" t="str">
            <v>adóügyi igazgatás</v>
          </cell>
          <cell r="N4" t="str">
            <v>nemzeti ünnepek programjai</v>
          </cell>
          <cell r="P4" t="str">
            <v>közvilágítás</v>
          </cell>
          <cell r="Q4" t="str">
            <v>község- gazdálkodás</v>
          </cell>
          <cell r="R4" t="str">
            <v>önkormányzatok elszámolásai</v>
          </cell>
          <cell r="S4" t="str">
            <v>finanszírozási műveletek</v>
          </cell>
          <cell r="W4" t="str">
            <v>szociális ösztöndíjak</v>
          </cell>
          <cell r="X4" t="str">
            <v>Család és nővédelmi gondozás</v>
          </cell>
          <cell r="Y4" t="str">
            <v>rendszeres szociális segély</v>
          </cell>
          <cell r="Z4" t="str">
            <v>időskorúak járadéka</v>
          </cell>
          <cell r="AA4" t="str">
            <v>normatív lakásfenntartási támogatás</v>
          </cell>
          <cell r="AB4" t="str">
            <v>helyi lakásfenntartási támogatás</v>
          </cell>
          <cell r="AC4" t="str">
            <v>Ápolási díj alanyi jogon</v>
          </cell>
          <cell r="AD4" t="str">
            <v>Ápolási díj méltányossági jogon</v>
          </cell>
          <cell r="AE4" t="str">
            <v>rendszeres gyermekvédelmi pénzbeli ellátás</v>
          </cell>
          <cell r="AF4" t="str">
            <v>kiegészítő gyermekvédelmi támogatás</v>
          </cell>
          <cell r="AG4" t="str">
            <v>óvodáztatási támogatás</v>
          </cell>
          <cell r="AH4" t="str">
            <v>helyi eseti lakásfenntartási támogatás</v>
          </cell>
          <cell r="AI4" t="str">
            <v>átmeneti segély</v>
          </cell>
          <cell r="AJ4" t="str">
            <v>temetési segély</v>
          </cell>
          <cell r="AK4" t="str">
            <v>rendkívüli gyermekvédelmi támogatás</v>
          </cell>
          <cell r="AL4" t="str">
            <v>mozgás- korlátozottak közlekedési támogatása</v>
          </cell>
          <cell r="AM4" t="str">
            <v>egyéb eseti pénzbeli ellátások</v>
          </cell>
          <cell r="AN4" t="str">
            <v>közgyógyellátás</v>
          </cell>
          <cell r="AO4" t="str">
            <v>köztemetés</v>
          </cell>
          <cell r="AP4" t="str">
            <v>szociális étkeztetés</v>
          </cell>
          <cell r="AQ4" t="str">
            <v>tanyagondnoki szolgálat</v>
          </cell>
          <cell r="AR4" t="str">
            <v>egyéb speciális ellátások (születési támogatás)</v>
          </cell>
          <cell r="AS4" t="str">
            <v>civil szervezetek működése támogatása</v>
          </cell>
          <cell r="AV4" t="str">
            <v>könyvtári szolgáltatások</v>
          </cell>
          <cell r="AX4" t="str">
            <v>közösségi színterek működtetése</v>
          </cell>
          <cell r="AY4" t="str">
            <v>köztemető fenntartás és működtetés</v>
          </cell>
        </row>
      </sheetData>
      <sheetData sheetId="8">
        <row r="3">
          <cell r="L3">
            <v>841116</v>
          </cell>
        </row>
        <row r="4">
          <cell r="L4" t="str">
            <v>országos települési kisebbségi önk  választás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1_ktgv_részletező_tábla"/>
      <sheetName val="1m_cimrend"/>
      <sheetName val="2m_alcím_és kiemelt_ei bontás "/>
      <sheetName val="3m_bevételek"/>
      <sheetName val="4m_kiadások"/>
      <sheetName val="5m_felhalm_felujitas"/>
      <sheetName val="6_m_PmH"/>
      <sheetName val="7-8_m_Óvoda_CKÖ"/>
      <sheetName val="9m_ktgv_i_mérleg"/>
      <sheetName val="10m_többéves_kihatás"/>
      <sheetName val="11m_gördülő_tervezés"/>
      <sheetName val="12m_engedélyezett_lsz"/>
      <sheetName val="13m_közvetett tám"/>
      <sheetName val="14m_ei_felh_ütemterv"/>
    </sheetNames>
    <sheetDataSet>
      <sheetData sheetId="0">
        <row r="6">
          <cell r="B6" t="str">
            <v>Intézményi működési bevételek</v>
          </cell>
          <cell r="C6">
            <v>6286</v>
          </cell>
          <cell r="D6">
            <v>0</v>
          </cell>
          <cell r="E6">
            <v>0</v>
          </cell>
        </row>
        <row r="13">
          <cell r="B13" t="str">
            <v>Önkormányzatok sajátos működési bevételei</v>
          </cell>
          <cell r="C13">
            <v>0</v>
          </cell>
          <cell r="D13">
            <v>0</v>
          </cell>
          <cell r="E13">
            <v>0</v>
          </cell>
          <cell r="BG13">
            <v>144891</v>
          </cell>
        </row>
        <row r="22">
          <cell r="B22" t="str">
            <v>Központi költségvetésből kapott költségvetési támogatás</v>
          </cell>
          <cell r="C22">
            <v>0</v>
          </cell>
          <cell r="D22">
            <v>0</v>
          </cell>
          <cell r="E22">
            <v>0</v>
          </cell>
        </row>
        <row r="26">
          <cell r="B26" t="str">
            <v>Működési célú támogatás értékű bevételek</v>
          </cell>
          <cell r="C26">
            <v>0</v>
          </cell>
          <cell r="D26">
            <v>0</v>
          </cell>
          <cell r="E26">
            <v>0</v>
          </cell>
          <cell r="BG26">
            <v>13667</v>
          </cell>
        </row>
        <row r="31">
          <cell r="B31" t="str">
            <v>Államháztartásonkívülről működési célra átvett pénzeszköz</v>
          </cell>
          <cell r="BG31">
            <v>474</v>
          </cell>
        </row>
        <row r="33">
          <cell r="B33" t="str">
            <v>Előző évi maradvány átvétele központi költségvetésből</v>
          </cell>
          <cell r="C33">
            <v>0</v>
          </cell>
          <cell r="D33">
            <v>0</v>
          </cell>
          <cell r="E33">
            <v>0</v>
          </cell>
          <cell r="BG33">
            <v>2282</v>
          </cell>
        </row>
        <row r="35">
          <cell r="B35" t="str">
            <v>Vállalkozási bevétel</v>
          </cell>
          <cell r="BG35">
            <v>0</v>
          </cell>
        </row>
        <row r="38">
          <cell r="B38" t="str">
            <v>Tárgyi eszközök és immat.javak értékesítése</v>
          </cell>
          <cell r="C38">
            <v>0</v>
          </cell>
          <cell r="D38">
            <v>0</v>
          </cell>
          <cell r="E38">
            <v>0</v>
          </cell>
          <cell r="BG38">
            <v>16670</v>
          </cell>
        </row>
        <row r="40">
          <cell r="B40" t="str">
            <v>Fejlesztési kiadásokhoz kapcsolódó ÁFA bevételek</v>
          </cell>
        </row>
        <row r="42">
          <cell r="B42" t="str">
            <v>Felhalmozási  célú támogatás értékű bevételek (vis maior)</v>
          </cell>
        </row>
        <row r="44">
          <cell r="B44" t="str">
            <v>Államháztartáson kívülről felhalmozási célra átvett pénzeszköz</v>
          </cell>
          <cell r="BG44">
            <v>4600</v>
          </cell>
        </row>
        <row r="48">
          <cell r="B48" t="str">
            <v>Felhalmozási célú kölcsönök megtérülése</v>
          </cell>
          <cell r="BG48">
            <v>20</v>
          </cell>
        </row>
        <row r="56">
          <cell r="B56" t="str">
            <v>1.Személyi juttatások</v>
          </cell>
        </row>
        <row r="57">
          <cell r="B57" t="str">
            <v>2.Munkaadót terhelő járulékok</v>
          </cell>
        </row>
        <row r="58">
          <cell r="B58" t="str">
            <v>3.Dologi kiadások</v>
          </cell>
        </row>
        <row r="60">
          <cell r="B60" t="str">
            <v>4.Társadalom és szociálpolitikai kiadások</v>
          </cell>
        </row>
        <row r="61">
          <cell r="B61" t="str">
            <v>5.Egyéb működési célú kiadások (pénzeszköz átadások)</v>
          </cell>
        </row>
        <row r="63">
          <cell r="B63" t="str">
            <v>1.Beruházások</v>
          </cell>
        </row>
        <row r="64">
          <cell r="B64" t="str">
            <v>2.Felújítások</v>
          </cell>
        </row>
        <row r="65">
          <cell r="B65" t="str">
            <v>3.Egyéb felhalmozási célú kiadások (pénzeszköz átadások)</v>
          </cell>
          <cell r="BG65">
            <v>5161</v>
          </cell>
        </row>
        <row r="66">
          <cell r="B66" t="str">
            <v>Pénzforgalom nélküli kiadások /tartalékok/</v>
          </cell>
        </row>
        <row r="75">
          <cell r="B75" t="str">
            <v>Működési célú pénzmaradvány</v>
          </cell>
        </row>
        <row r="76">
          <cell r="BG76">
            <v>31657</v>
          </cell>
        </row>
        <row r="80">
          <cell r="B80" t="str">
            <v>Működési célú hitelfelvétel </v>
          </cell>
          <cell r="BG80">
            <v>0</v>
          </cell>
        </row>
        <row r="81">
          <cell r="BG81">
            <v>14000</v>
          </cell>
        </row>
        <row r="82">
          <cell r="BG82">
            <v>28743</v>
          </cell>
        </row>
        <row r="86">
          <cell r="B86" t="str">
            <v>Működési célú hitel visszafizetés</v>
          </cell>
          <cell r="BG86">
            <v>0</v>
          </cell>
          <cell r="BH86">
            <v>0</v>
          </cell>
        </row>
        <row r="87">
          <cell r="B87" t="str">
            <v>Felhalmozási célú hitel visszafizetés</v>
          </cell>
          <cell r="BG87">
            <v>8935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11_elemi_adatok"/>
      <sheetName val="2011_2a_mell"/>
      <sheetName val="B_int_működési"/>
      <sheetName val="B_Önk_sajátos"/>
      <sheetName val="B_kpi_tám"/>
      <sheetName val="B_mükc_tám_ért"/>
      <sheetName val="B_ÁHk_mük.c_pe"/>
      <sheetName val="B_előzőévi_normatíva"/>
      <sheetName val="B_immat"/>
      <sheetName val="B_felh_ÁFA"/>
      <sheetName val="B_szabad_pe_visszavonás"/>
      <sheetName val="B_felh_tám_ért"/>
      <sheetName val="B_ÁHk_felh_pe"/>
      <sheetName val="B_felh_kölcs_megtérül"/>
      <sheetName val="K_szjei"/>
      <sheetName val="K_jarulek"/>
      <sheetName val="K_dologi"/>
      <sheetName val="K_dologiból_kamatok"/>
      <sheetName val="K_Tésszocpol_jut"/>
      <sheetName val="K_mc_pe_átadás"/>
      <sheetName val="K_beruhazas"/>
      <sheetName val="K_felújítás"/>
      <sheetName val="K_felhalm_c_pe"/>
      <sheetName val="K_ált_tartalék"/>
      <sheetName val="K_céltartalék"/>
      <sheetName val="B_mükc_pénzmaradvány"/>
      <sheetName val="B_felh_c_pénzmaradvány"/>
      <sheetName val="B_műk_hitel"/>
      <sheetName val="B_felh_hitel"/>
      <sheetName val="K_felhalm_hitel"/>
      <sheetName val="B_vállalk_bevétel"/>
      <sheetName val="hitelkamatok"/>
    </sheetNames>
    <sheetDataSet>
      <sheetData sheetId="0">
        <row r="203">
          <cell r="F203">
            <v>172</v>
          </cell>
        </row>
        <row r="204">
          <cell r="F204">
            <v>5004</v>
          </cell>
        </row>
        <row r="205">
          <cell r="F205">
            <v>1884</v>
          </cell>
        </row>
        <row r="218">
          <cell r="H218">
            <v>1000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W63"/>
  <sheetViews>
    <sheetView showZeros="0" view="pageBreakPreview" zoomScale="85" zoomScaleSheetLayoutView="85" zoomScalePageLayoutView="0" workbookViewId="0" topLeftCell="A1">
      <pane xSplit="2" ySplit="3" topLeftCell="D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48" sqref="B48"/>
    </sheetView>
  </sheetViews>
  <sheetFormatPr defaultColWidth="9.140625" defaultRowHeight="15"/>
  <cols>
    <col min="1" max="1" width="5.7109375" style="2" customWidth="1"/>
    <col min="2" max="2" width="60.28125" style="2" customWidth="1"/>
    <col min="3" max="22" width="11.7109375" style="4" customWidth="1"/>
    <col min="23" max="23" width="10.28125" style="1" bestFit="1" customWidth="1"/>
    <col min="24" max="16384" width="9.140625" style="1" customWidth="1"/>
  </cols>
  <sheetData>
    <row r="1" spans="1:22" s="25" customFormat="1" ht="16.5" customHeight="1">
      <c r="A1" s="562" t="s">
        <v>233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</row>
    <row r="2" spans="2:22" s="17" customFormat="1" ht="37.5" customHeight="1" thickBot="1">
      <c r="B2" s="244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</row>
    <row r="3" spans="1:22" s="14" customFormat="1" ht="129" customHeight="1">
      <c r="A3" s="560" t="s">
        <v>59</v>
      </c>
      <c r="B3" s="561"/>
      <c r="C3" s="221" t="s">
        <v>220</v>
      </c>
      <c r="D3" s="222" t="s">
        <v>215</v>
      </c>
      <c r="E3" s="222" t="s">
        <v>216</v>
      </c>
      <c r="F3" s="223" t="s">
        <v>217</v>
      </c>
      <c r="G3" s="221" t="s">
        <v>242</v>
      </c>
      <c r="H3" s="222" t="s">
        <v>243</v>
      </c>
      <c r="I3" s="222" t="s">
        <v>218</v>
      </c>
      <c r="J3" s="223" t="s">
        <v>219</v>
      </c>
      <c r="K3" s="221" t="s">
        <v>221</v>
      </c>
      <c r="L3" s="222" t="s">
        <v>224</v>
      </c>
      <c r="M3" s="222" t="s">
        <v>222</v>
      </c>
      <c r="N3" s="223" t="s">
        <v>223</v>
      </c>
      <c r="O3" s="221" t="s">
        <v>225</v>
      </c>
      <c r="P3" s="222" t="s">
        <v>226</v>
      </c>
      <c r="Q3" s="222" t="s">
        <v>227</v>
      </c>
      <c r="R3" s="223" t="s">
        <v>228</v>
      </c>
      <c r="S3" s="221" t="s">
        <v>229</v>
      </c>
      <c r="T3" s="222" t="s">
        <v>230</v>
      </c>
      <c r="U3" s="222" t="s">
        <v>231</v>
      </c>
      <c r="V3" s="223" t="s">
        <v>232</v>
      </c>
    </row>
    <row r="4" spans="1:22" s="7" customFormat="1" ht="15.75">
      <c r="A4" s="245" t="s">
        <v>77</v>
      </c>
      <c r="B4" s="206"/>
      <c r="C4" s="224"/>
      <c r="D4" s="206"/>
      <c r="E4" s="206"/>
      <c r="F4" s="225"/>
      <c r="G4" s="224"/>
      <c r="H4" s="206"/>
      <c r="I4" s="206"/>
      <c r="J4" s="225"/>
      <c r="K4" s="224"/>
      <c r="L4" s="206"/>
      <c r="M4" s="206"/>
      <c r="N4" s="225"/>
      <c r="O4" s="224"/>
      <c r="P4" s="206"/>
      <c r="Q4" s="206"/>
      <c r="R4" s="225"/>
      <c r="S4" s="224"/>
      <c r="T4" s="206"/>
      <c r="U4" s="206"/>
      <c r="V4" s="225"/>
    </row>
    <row r="5" spans="1:22" s="7" customFormat="1" ht="12.75">
      <c r="A5" s="246">
        <v>1</v>
      </c>
      <c r="B5" s="207" t="s">
        <v>74</v>
      </c>
      <c r="C5" s="92">
        <f>'[4]2011_ktgv_részletező_tábla'!AW6</f>
        <v>29842.777000000002</v>
      </c>
      <c r="D5" s="158">
        <f>modositott_ei!AX6</f>
        <v>31300</v>
      </c>
      <c r="E5" s="158">
        <f>6m_teljesitesi_adatok!AX6</f>
        <v>20473</v>
      </c>
      <c r="F5" s="234">
        <f>E5/D5</f>
        <v>0.6540894568690095</v>
      </c>
      <c r="G5" s="226">
        <f>'[4]2011_ktgv_részletező_tábla'!BB6</f>
        <v>6623.54</v>
      </c>
      <c r="H5" s="158">
        <f>modositott_ei!BC6</f>
        <v>6624</v>
      </c>
      <c r="I5" s="158">
        <f>6m_teljesitesi_adatok!BC6</f>
        <v>3179</v>
      </c>
      <c r="J5" s="234">
        <f>I5/H5</f>
        <v>0.47992149758454106</v>
      </c>
      <c r="K5" s="226">
        <f>C5+G5</f>
        <v>36466.317</v>
      </c>
      <c r="L5" s="226">
        <f>D5+H5</f>
        <v>37924</v>
      </c>
      <c r="M5" s="226">
        <f>E5+I5</f>
        <v>23652</v>
      </c>
      <c r="N5" s="234">
        <f>M5/L5</f>
        <v>0.6236683894103997</v>
      </c>
      <c r="O5" s="226">
        <f>'[4]2011_ktgv_részletező_tábla'!BD6</f>
        <v>0</v>
      </c>
      <c r="P5" s="158">
        <f>modositott_ei!BF6</f>
        <v>0</v>
      </c>
      <c r="Q5" s="158">
        <f>6m_teljesitesi_adatok!BE6</f>
        <v>0</v>
      </c>
      <c r="R5" s="234"/>
      <c r="S5" s="226">
        <f>K5+O5</f>
        <v>36466.317</v>
      </c>
      <c r="T5" s="226">
        <f>L5+P5</f>
        <v>37924</v>
      </c>
      <c r="U5" s="226">
        <f>M5+Q5</f>
        <v>23652</v>
      </c>
      <c r="V5" s="247">
        <f>U5/T5</f>
        <v>0.6236683894103997</v>
      </c>
    </row>
    <row r="6" spans="1:22" s="7" customFormat="1" ht="12.75">
      <c r="A6" s="248"/>
      <c r="B6" s="208" t="s">
        <v>168</v>
      </c>
      <c r="C6" s="233">
        <f>'[4]2011_ktgv_részletező_tábla'!AW7</f>
        <v>308.34</v>
      </c>
      <c r="D6" s="233">
        <f>modositott_ei!AX7</f>
        <v>658</v>
      </c>
      <c r="E6" s="233">
        <f>6m_teljesitesi_adatok!AX7</f>
        <v>643</v>
      </c>
      <c r="F6" s="237">
        <f aca="true" t="shared" si="0" ref="F6:F49">E6/D6</f>
        <v>0.9772036474164134</v>
      </c>
      <c r="G6" s="233">
        <f>'[4]2011_ktgv_részletező_tábla'!BB7</f>
        <v>0</v>
      </c>
      <c r="H6" s="233">
        <f>modositott_ei!BC7</f>
        <v>0</v>
      </c>
      <c r="I6" s="233">
        <f>6m_teljesitesi_adatok!BC7</f>
        <v>0</v>
      </c>
      <c r="J6" s="237"/>
      <c r="K6" s="233">
        <f aca="true" t="shared" si="1" ref="K6:K49">C6+G6</f>
        <v>308.34</v>
      </c>
      <c r="L6" s="233">
        <f aca="true" t="shared" si="2" ref="L6:L49">D6+H6</f>
        <v>658</v>
      </c>
      <c r="M6" s="233">
        <f aca="true" t="shared" si="3" ref="M6:M49">E6+I6</f>
        <v>643</v>
      </c>
      <c r="N6" s="237">
        <f aca="true" t="shared" si="4" ref="N6:N49">M6/L6</f>
        <v>0.9772036474164134</v>
      </c>
      <c r="O6" s="238">
        <f>'[4]2011_ktgv_részletező_tábla'!BD7</f>
        <v>0</v>
      </c>
      <c r="P6" s="232">
        <f>modositott_ei!BF7</f>
        <v>0</v>
      </c>
      <c r="Q6" s="232">
        <f>6m_teljesitesi_adatok!BE7</f>
        <v>0</v>
      </c>
      <c r="R6" s="236"/>
      <c r="S6" s="233">
        <f aca="true" t="shared" si="5" ref="S6:S49">K6+O6</f>
        <v>308.34</v>
      </c>
      <c r="T6" s="233">
        <f aca="true" t="shared" si="6" ref="T6:T49">L6+P6</f>
        <v>658</v>
      </c>
      <c r="U6" s="233">
        <f aca="true" t="shared" si="7" ref="U6:U49">M6+Q6</f>
        <v>643</v>
      </c>
      <c r="V6" s="249">
        <f aca="true" t="shared" si="8" ref="V6:V49">U6/T6</f>
        <v>0.9772036474164134</v>
      </c>
    </row>
    <row r="7" spans="1:22" s="7" customFormat="1" ht="12.75">
      <c r="A7" s="248"/>
      <c r="B7" s="208" t="s">
        <v>169</v>
      </c>
      <c r="C7" s="233">
        <f>'[4]2011_ktgv_részletező_tábla'!AW8</f>
        <v>2757.5</v>
      </c>
      <c r="D7" s="233">
        <f>modositott_ei!AX8</f>
        <v>2757</v>
      </c>
      <c r="E7" s="233">
        <f>6m_teljesitesi_adatok!AX8</f>
        <v>745</v>
      </c>
      <c r="F7" s="237">
        <f t="shared" si="0"/>
        <v>0.27022125498730504</v>
      </c>
      <c r="G7" s="233">
        <f>'[4]2011_ktgv_részletező_tábla'!BB8</f>
        <v>0</v>
      </c>
      <c r="H7" s="233">
        <f>modositott_ei!BC8</f>
        <v>0</v>
      </c>
      <c r="I7" s="233">
        <f>6m_teljesitesi_adatok!BC8</f>
        <v>0</v>
      </c>
      <c r="J7" s="237"/>
      <c r="K7" s="233">
        <f t="shared" si="1"/>
        <v>2757.5</v>
      </c>
      <c r="L7" s="233">
        <f t="shared" si="2"/>
        <v>2757</v>
      </c>
      <c r="M7" s="233">
        <f t="shared" si="3"/>
        <v>745</v>
      </c>
      <c r="N7" s="237">
        <f t="shared" si="4"/>
        <v>0.27022125498730504</v>
      </c>
      <c r="O7" s="238">
        <f>'[4]2011_ktgv_részletező_tábla'!BD8</f>
        <v>0</v>
      </c>
      <c r="P7" s="232">
        <f>modositott_ei!BF8</f>
        <v>0</v>
      </c>
      <c r="Q7" s="232">
        <f>6m_teljesitesi_adatok!BE8</f>
        <v>0</v>
      </c>
      <c r="R7" s="236"/>
      <c r="S7" s="233">
        <f t="shared" si="5"/>
        <v>2757.5</v>
      </c>
      <c r="T7" s="233">
        <f t="shared" si="6"/>
        <v>2757</v>
      </c>
      <c r="U7" s="233">
        <f t="shared" si="7"/>
        <v>745</v>
      </c>
      <c r="V7" s="249">
        <f t="shared" si="8"/>
        <v>0.27022125498730504</v>
      </c>
    </row>
    <row r="8" spans="1:22" s="7" customFormat="1" ht="12.75">
      <c r="A8" s="248"/>
      <c r="B8" s="209" t="s">
        <v>170</v>
      </c>
      <c r="C8" s="233">
        <f>'[4]2011_ktgv_részletező_tábla'!AW9</f>
        <v>6286.005</v>
      </c>
      <c r="D8" s="233">
        <f>modositott_ei!AX9</f>
        <v>6286</v>
      </c>
      <c r="E8" s="233">
        <f>6m_teljesitesi_adatok!AX9</f>
        <v>4185</v>
      </c>
      <c r="F8" s="237">
        <f t="shared" si="0"/>
        <v>0.6657651924912504</v>
      </c>
      <c r="G8" s="233">
        <f>'[4]2011_ktgv_részletező_tábla'!BB9</f>
        <v>0</v>
      </c>
      <c r="H8" s="233">
        <f>modositott_ei!BC9</f>
        <v>0</v>
      </c>
      <c r="I8" s="233">
        <f>6m_teljesitesi_adatok!BC9</f>
        <v>0</v>
      </c>
      <c r="J8" s="237"/>
      <c r="K8" s="233">
        <f t="shared" si="1"/>
        <v>6286.005</v>
      </c>
      <c r="L8" s="233">
        <f t="shared" si="2"/>
        <v>6286</v>
      </c>
      <c r="M8" s="233">
        <f t="shared" si="3"/>
        <v>4185</v>
      </c>
      <c r="N8" s="237">
        <f t="shared" si="4"/>
        <v>0.6657651924912504</v>
      </c>
      <c r="O8" s="238">
        <f>'[4]2011_ktgv_részletező_tábla'!BD9</f>
        <v>0</v>
      </c>
      <c r="P8" s="232">
        <f>modositott_ei!BF9</f>
        <v>0</v>
      </c>
      <c r="Q8" s="232">
        <f>6m_teljesitesi_adatok!BE9</f>
        <v>0</v>
      </c>
      <c r="R8" s="236"/>
      <c r="S8" s="233">
        <f t="shared" si="5"/>
        <v>6286.005</v>
      </c>
      <c r="T8" s="233">
        <f t="shared" si="6"/>
        <v>6286</v>
      </c>
      <c r="U8" s="233">
        <f t="shared" si="7"/>
        <v>4185</v>
      </c>
      <c r="V8" s="249">
        <f t="shared" si="8"/>
        <v>0.6657651924912504</v>
      </c>
    </row>
    <row r="9" spans="1:22" s="7" customFormat="1" ht="12.75">
      <c r="A9" s="248"/>
      <c r="B9" s="208" t="s">
        <v>171</v>
      </c>
      <c r="C9" s="233">
        <f>'[4]2011_ktgv_részletező_tábla'!AW10</f>
        <v>14207.400000000001</v>
      </c>
      <c r="D9" s="233">
        <f>modositott_ei!AX10</f>
        <v>14207</v>
      </c>
      <c r="E9" s="233">
        <f>6m_teljesitesi_adatok!AX10</f>
        <v>7184</v>
      </c>
      <c r="F9" s="237">
        <f t="shared" si="0"/>
        <v>0.5056662208770325</v>
      </c>
      <c r="G9" s="233">
        <f>'[4]2011_ktgv_részletező_tábla'!BB10</f>
        <v>6623.54</v>
      </c>
      <c r="H9" s="233">
        <f>modositott_ei!BC10</f>
        <v>6624</v>
      </c>
      <c r="I9" s="233">
        <f>6m_teljesitesi_adatok!BC10</f>
        <v>2543</v>
      </c>
      <c r="J9" s="237">
        <f>I9/H9</f>
        <v>0.3839070048309179</v>
      </c>
      <c r="K9" s="233">
        <f t="shared" si="1"/>
        <v>20830.940000000002</v>
      </c>
      <c r="L9" s="233">
        <f t="shared" si="2"/>
        <v>20831</v>
      </c>
      <c r="M9" s="233">
        <f t="shared" si="3"/>
        <v>9727</v>
      </c>
      <c r="N9" s="237">
        <f t="shared" si="4"/>
        <v>0.4669482982093994</v>
      </c>
      <c r="O9" s="238">
        <f>'[4]2011_ktgv_részletező_tábla'!BD10</f>
        <v>0</v>
      </c>
      <c r="P9" s="232">
        <f>modositott_ei!BF10</f>
        <v>0</v>
      </c>
      <c r="Q9" s="232">
        <f>6m_teljesitesi_adatok!BE10</f>
        <v>0</v>
      </c>
      <c r="R9" s="236"/>
      <c r="S9" s="233">
        <f t="shared" si="5"/>
        <v>20830.940000000002</v>
      </c>
      <c r="T9" s="233">
        <f t="shared" si="6"/>
        <v>20831</v>
      </c>
      <c r="U9" s="233">
        <f t="shared" si="7"/>
        <v>9727</v>
      </c>
      <c r="V9" s="249">
        <f t="shared" si="8"/>
        <v>0.4669482982093994</v>
      </c>
    </row>
    <row r="10" spans="1:22" s="7" customFormat="1" ht="12.75">
      <c r="A10" s="248"/>
      <c r="B10" s="208" t="s">
        <v>172</v>
      </c>
      <c r="C10" s="233">
        <f>'[4]2011_ktgv_részletező_tábla'!AW11</f>
        <v>5613.532</v>
      </c>
      <c r="D10" s="233">
        <f>modositott_ei!AX11</f>
        <v>5822</v>
      </c>
      <c r="E10" s="233">
        <f>6m_teljesitesi_adatok!AX11</f>
        <v>6763</v>
      </c>
      <c r="F10" s="237">
        <f t="shared" si="0"/>
        <v>1.1616283064239092</v>
      </c>
      <c r="G10" s="233">
        <f>'[4]2011_ktgv_részletező_tábla'!BB11</f>
        <v>0</v>
      </c>
      <c r="H10" s="233">
        <f>modositott_ei!BC11</f>
        <v>0</v>
      </c>
      <c r="I10" s="233">
        <f>6m_teljesitesi_adatok!BC11</f>
        <v>636</v>
      </c>
      <c r="J10" s="237"/>
      <c r="K10" s="233">
        <f t="shared" si="1"/>
        <v>5613.532</v>
      </c>
      <c r="L10" s="233">
        <f t="shared" si="2"/>
        <v>5822</v>
      </c>
      <c r="M10" s="233">
        <f t="shared" si="3"/>
        <v>7399</v>
      </c>
      <c r="N10" s="237">
        <f t="shared" si="4"/>
        <v>1.2708691171418756</v>
      </c>
      <c r="O10" s="238">
        <f>'[4]2011_ktgv_részletező_tábla'!BD11</f>
        <v>0</v>
      </c>
      <c r="P10" s="232">
        <f>modositott_ei!BF11</f>
        <v>0</v>
      </c>
      <c r="Q10" s="232">
        <f>6m_teljesitesi_adatok!BE11</f>
        <v>0</v>
      </c>
      <c r="R10" s="236"/>
      <c r="S10" s="233">
        <f t="shared" si="5"/>
        <v>5613.532</v>
      </c>
      <c r="T10" s="233">
        <f t="shared" si="6"/>
        <v>5822</v>
      </c>
      <c r="U10" s="233">
        <f t="shared" si="7"/>
        <v>7399</v>
      </c>
      <c r="V10" s="249">
        <f t="shared" si="8"/>
        <v>1.2708691171418756</v>
      </c>
    </row>
    <row r="11" spans="1:22" s="7" customFormat="1" ht="12.75">
      <c r="A11" s="248"/>
      <c r="B11" s="208" t="s">
        <v>173</v>
      </c>
      <c r="C11" s="233">
        <f>'[4]2011_ktgv_részletező_tábla'!AW12</f>
        <v>670</v>
      </c>
      <c r="D11" s="233">
        <f>modositott_ei!AX12</f>
        <v>1570</v>
      </c>
      <c r="E11" s="233">
        <f>6m_teljesitesi_adatok!AX12</f>
        <v>953</v>
      </c>
      <c r="F11" s="237">
        <f t="shared" si="0"/>
        <v>0.6070063694267516</v>
      </c>
      <c r="G11" s="233">
        <f>'[4]2011_ktgv_részletező_tábla'!BB12</f>
        <v>0</v>
      </c>
      <c r="H11" s="233">
        <f>modositott_ei!BC12</f>
        <v>0</v>
      </c>
      <c r="I11" s="233">
        <f>6m_teljesitesi_adatok!BC12</f>
        <v>0</v>
      </c>
      <c r="J11" s="237"/>
      <c r="K11" s="233">
        <f t="shared" si="1"/>
        <v>670</v>
      </c>
      <c r="L11" s="233">
        <f t="shared" si="2"/>
        <v>1570</v>
      </c>
      <c r="M11" s="233">
        <f t="shared" si="3"/>
        <v>953</v>
      </c>
      <c r="N11" s="237">
        <f t="shared" si="4"/>
        <v>0.6070063694267516</v>
      </c>
      <c r="O11" s="238">
        <f>'[4]2011_ktgv_részletező_tábla'!BD12</f>
        <v>0</v>
      </c>
      <c r="P11" s="232">
        <f>modositott_ei!BF12</f>
        <v>0</v>
      </c>
      <c r="Q11" s="232">
        <f>6m_teljesitesi_adatok!BE12</f>
        <v>0</v>
      </c>
      <c r="R11" s="236"/>
      <c r="S11" s="233">
        <f t="shared" si="5"/>
        <v>670</v>
      </c>
      <c r="T11" s="233">
        <f t="shared" si="6"/>
        <v>1570</v>
      </c>
      <c r="U11" s="233">
        <f t="shared" si="7"/>
        <v>953</v>
      </c>
      <c r="V11" s="249">
        <f t="shared" si="8"/>
        <v>0.6070063694267516</v>
      </c>
    </row>
    <row r="12" spans="1:22" s="7" customFormat="1" ht="12.75">
      <c r="A12" s="246">
        <v>2</v>
      </c>
      <c r="B12" s="207" t="s">
        <v>78</v>
      </c>
      <c r="C12" s="92">
        <f>'[4]2011_ktgv_részletező_tábla'!AW13</f>
        <v>144891.02</v>
      </c>
      <c r="D12" s="158">
        <f>modositott_ei!AX13</f>
        <v>144891</v>
      </c>
      <c r="E12" s="158">
        <f>6m_teljesitesi_adatok!AX13</f>
        <v>85677</v>
      </c>
      <c r="F12" s="234">
        <f t="shared" si="0"/>
        <v>0.5913203718657474</v>
      </c>
      <c r="G12" s="226">
        <f>'[4]2011_ktgv_részletező_tábla'!BB13</f>
        <v>0</v>
      </c>
      <c r="H12" s="158">
        <f>modositott_ei!BC13</f>
        <v>0</v>
      </c>
      <c r="I12" s="158">
        <f>6m_teljesitesi_adatok!BC13</f>
        <v>0</v>
      </c>
      <c r="J12" s="234"/>
      <c r="K12" s="226">
        <f t="shared" si="1"/>
        <v>144891.02</v>
      </c>
      <c r="L12" s="226">
        <f t="shared" si="2"/>
        <v>144891</v>
      </c>
      <c r="M12" s="226">
        <f t="shared" si="3"/>
        <v>85677</v>
      </c>
      <c r="N12" s="234">
        <f t="shared" si="4"/>
        <v>0.5913203718657474</v>
      </c>
      <c r="O12" s="226">
        <f>'[4]2011_ktgv_részletező_tábla'!BD13</f>
        <v>0</v>
      </c>
      <c r="P12" s="158">
        <f>modositott_ei!BF13</f>
        <v>0</v>
      </c>
      <c r="Q12" s="158">
        <f>6m_teljesitesi_adatok!BE13</f>
        <v>0</v>
      </c>
      <c r="R12" s="234"/>
      <c r="S12" s="226">
        <f t="shared" si="5"/>
        <v>144891.02</v>
      </c>
      <c r="T12" s="226">
        <f t="shared" si="6"/>
        <v>144891</v>
      </c>
      <c r="U12" s="226">
        <f t="shared" si="7"/>
        <v>85677</v>
      </c>
      <c r="V12" s="247">
        <f t="shared" si="8"/>
        <v>0.5913203718657474</v>
      </c>
    </row>
    <row r="13" spans="1:22" s="7" customFormat="1" ht="12.75">
      <c r="A13" s="250"/>
      <c r="B13" s="208" t="s">
        <v>146</v>
      </c>
      <c r="C13" s="233">
        <f>'[4]2011_ktgv_részletező_tábla'!AW14</f>
        <v>26705</v>
      </c>
      <c r="D13" s="233">
        <f>modositott_ei!AX14</f>
        <v>26705</v>
      </c>
      <c r="E13" s="233">
        <f>6m_teljesitesi_adatok!AX14</f>
        <v>21061</v>
      </c>
      <c r="F13" s="237">
        <f t="shared" si="0"/>
        <v>0.7886538101479124</v>
      </c>
      <c r="G13" s="233">
        <f>'[4]2011_ktgv_részletező_tábla'!BB14</f>
        <v>0</v>
      </c>
      <c r="H13" s="233">
        <f>modositott_ei!BC14</f>
        <v>0</v>
      </c>
      <c r="I13" s="233">
        <f>6m_teljesitesi_adatok!BC14</f>
        <v>0</v>
      </c>
      <c r="J13" s="237"/>
      <c r="K13" s="233">
        <f t="shared" si="1"/>
        <v>26705</v>
      </c>
      <c r="L13" s="233">
        <f t="shared" si="2"/>
        <v>26705</v>
      </c>
      <c r="M13" s="233">
        <f t="shared" si="3"/>
        <v>21061</v>
      </c>
      <c r="N13" s="237">
        <f t="shared" si="4"/>
        <v>0.7886538101479124</v>
      </c>
      <c r="O13" s="238">
        <f>'[4]2011_ktgv_részletező_tábla'!BD14</f>
        <v>0</v>
      </c>
      <c r="P13" s="238">
        <f>modositott_ei!BF14</f>
        <v>0</v>
      </c>
      <c r="Q13" s="238">
        <f>6m_teljesitesi_adatok!BE14</f>
        <v>0</v>
      </c>
      <c r="R13" s="238"/>
      <c r="S13" s="233">
        <f t="shared" si="5"/>
        <v>26705</v>
      </c>
      <c r="T13" s="233">
        <f t="shared" si="6"/>
        <v>26705</v>
      </c>
      <c r="U13" s="233">
        <f t="shared" si="7"/>
        <v>21061</v>
      </c>
      <c r="V13" s="249">
        <f t="shared" si="8"/>
        <v>0.7886538101479124</v>
      </c>
    </row>
    <row r="14" spans="1:22" s="7" customFormat="1" ht="12.75">
      <c r="A14" s="248"/>
      <c r="B14" s="208" t="s">
        <v>147</v>
      </c>
      <c r="C14" s="233">
        <f>'[4]2011_ktgv_részletező_tábla'!AW15</f>
        <v>300</v>
      </c>
      <c r="D14" s="233">
        <f>modositott_ei!AX15</f>
        <v>300</v>
      </c>
      <c r="E14" s="233">
        <f>6m_teljesitesi_adatok!AX15</f>
        <v>165</v>
      </c>
      <c r="F14" s="237">
        <f t="shared" si="0"/>
        <v>0.55</v>
      </c>
      <c r="G14" s="233">
        <f>'[4]2011_ktgv_részletező_tábla'!BB15</f>
        <v>0</v>
      </c>
      <c r="H14" s="233">
        <f>modositott_ei!BC15</f>
        <v>0</v>
      </c>
      <c r="I14" s="233">
        <f>6m_teljesitesi_adatok!BC15</f>
        <v>0</v>
      </c>
      <c r="J14" s="237"/>
      <c r="K14" s="233">
        <f t="shared" si="1"/>
        <v>300</v>
      </c>
      <c r="L14" s="233">
        <f t="shared" si="2"/>
        <v>300</v>
      </c>
      <c r="M14" s="233">
        <f t="shared" si="3"/>
        <v>165</v>
      </c>
      <c r="N14" s="237">
        <f t="shared" si="4"/>
        <v>0.55</v>
      </c>
      <c r="O14" s="238">
        <f>'[4]2011_ktgv_részletező_tábla'!BD15</f>
        <v>0</v>
      </c>
      <c r="P14" s="238">
        <f>modositott_ei!BF15</f>
        <v>0</v>
      </c>
      <c r="Q14" s="238">
        <f>6m_teljesitesi_adatok!BE15</f>
        <v>0</v>
      </c>
      <c r="R14" s="238"/>
      <c r="S14" s="233">
        <f t="shared" si="5"/>
        <v>300</v>
      </c>
      <c r="T14" s="233">
        <f t="shared" si="6"/>
        <v>300</v>
      </c>
      <c r="U14" s="233">
        <f t="shared" si="7"/>
        <v>165</v>
      </c>
      <c r="V14" s="249">
        <f t="shared" si="8"/>
        <v>0.55</v>
      </c>
    </row>
    <row r="15" spans="1:22" s="7" customFormat="1" ht="12.75">
      <c r="A15" s="248"/>
      <c r="B15" s="208" t="s">
        <v>148</v>
      </c>
      <c r="C15" s="233">
        <f>'[4]2011_ktgv_részletező_tábla'!AW16</f>
        <v>16500</v>
      </c>
      <c r="D15" s="233">
        <f>modositott_ei!AX16</f>
        <v>16500</v>
      </c>
      <c r="E15" s="233">
        <f>6m_teljesitesi_adatok!AX16</f>
        <v>11358</v>
      </c>
      <c r="F15" s="237">
        <f t="shared" si="0"/>
        <v>0.6883636363636364</v>
      </c>
      <c r="G15" s="233">
        <f>'[4]2011_ktgv_részletező_tábla'!BB16</f>
        <v>0</v>
      </c>
      <c r="H15" s="233">
        <f>modositott_ei!BC16</f>
        <v>0</v>
      </c>
      <c r="I15" s="233">
        <f>6m_teljesitesi_adatok!BC16</f>
        <v>0</v>
      </c>
      <c r="J15" s="237"/>
      <c r="K15" s="233">
        <f t="shared" si="1"/>
        <v>16500</v>
      </c>
      <c r="L15" s="233">
        <f t="shared" si="2"/>
        <v>16500</v>
      </c>
      <c r="M15" s="233">
        <f t="shared" si="3"/>
        <v>11358</v>
      </c>
      <c r="N15" s="237">
        <f t="shared" si="4"/>
        <v>0.6883636363636364</v>
      </c>
      <c r="O15" s="238">
        <f>'[4]2011_ktgv_részletező_tábla'!BD16</f>
        <v>0</v>
      </c>
      <c r="P15" s="238">
        <f>modositott_ei!BF16</f>
        <v>0</v>
      </c>
      <c r="Q15" s="238">
        <f>6m_teljesitesi_adatok!BE16</f>
        <v>0</v>
      </c>
      <c r="R15" s="238"/>
      <c r="S15" s="233">
        <f t="shared" si="5"/>
        <v>16500</v>
      </c>
      <c r="T15" s="233">
        <f t="shared" si="6"/>
        <v>16500</v>
      </c>
      <c r="U15" s="233">
        <f t="shared" si="7"/>
        <v>11358</v>
      </c>
      <c r="V15" s="249">
        <f t="shared" si="8"/>
        <v>0.6883636363636364</v>
      </c>
    </row>
    <row r="16" spans="1:22" s="7" customFormat="1" ht="12.75">
      <c r="A16" s="248"/>
      <c r="B16" s="208" t="s">
        <v>149</v>
      </c>
      <c r="C16" s="233">
        <f>'[4]2011_ktgv_részletező_tábla'!AW17</f>
        <v>29636</v>
      </c>
      <c r="D16" s="233">
        <f>modositott_ei!AX17</f>
        <v>29636</v>
      </c>
      <c r="E16" s="233">
        <f>6m_teljesitesi_adatok!AX17</f>
        <v>15500</v>
      </c>
      <c r="F16" s="237">
        <f t="shared" si="0"/>
        <v>0.5230125523012552</v>
      </c>
      <c r="G16" s="233">
        <f>'[4]2011_ktgv_részletező_tábla'!BB17</f>
        <v>0</v>
      </c>
      <c r="H16" s="233">
        <f>modositott_ei!BC17</f>
        <v>0</v>
      </c>
      <c r="I16" s="233">
        <f>6m_teljesitesi_adatok!BC17</f>
        <v>0</v>
      </c>
      <c r="J16" s="237"/>
      <c r="K16" s="233">
        <f t="shared" si="1"/>
        <v>29636</v>
      </c>
      <c r="L16" s="233">
        <f t="shared" si="2"/>
        <v>29636</v>
      </c>
      <c r="M16" s="233">
        <f t="shared" si="3"/>
        <v>15500</v>
      </c>
      <c r="N16" s="237">
        <f t="shared" si="4"/>
        <v>0.5230125523012552</v>
      </c>
      <c r="O16" s="238">
        <f>'[4]2011_ktgv_részletező_tábla'!BD17</f>
        <v>0</v>
      </c>
      <c r="P16" s="238">
        <f>modositott_ei!BF17</f>
        <v>0</v>
      </c>
      <c r="Q16" s="238">
        <f>6m_teljesitesi_adatok!BE17</f>
        <v>0</v>
      </c>
      <c r="R16" s="238"/>
      <c r="S16" s="233">
        <f t="shared" si="5"/>
        <v>29636</v>
      </c>
      <c r="T16" s="233">
        <f t="shared" si="6"/>
        <v>29636</v>
      </c>
      <c r="U16" s="233">
        <f t="shared" si="7"/>
        <v>15500</v>
      </c>
      <c r="V16" s="249">
        <f t="shared" si="8"/>
        <v>0.5230125523012552</v>
      </c>
    </row>
    <row r="17" spans="1:22" s="7" customFormat="1" ht="12.75">
      <c r="A17" s="248"/>
      <c r="B17" s="208" t="s">
        <v>150</v>
      </c>
      <c r="C17" s="233">
        <f>'[4]2011_ktgv_részletező_tábla'!AW18</f>
        <v>67022</v>
      </c>
      <c r="D17" s="233">
        <f>modositott_ei!AX18</f>
        <v>67022</v>
      </c>
      <c r="E17" s="233">
        <f>6m_teljesitesi_adatok!AX18</f>
        <v>35053</v>
      </c>
      <c r="F17" s="237">
        <f t="shared" si="0"/>
        <v>0.5230073707140939</v>
      </c>
      <c r="G17" s="233">
        <f>'[4]2011_ktgv_részletező_tábla'!BB18</f>
        <v>0</v>
      </c>
      <c r="H17" s="233">
        <f>modositott_ei!BC18</f>
        <v>0</v>
      </c>
      <c r="I17" s="233">
        <f>6m_teljesitesi_adatok!BC18</f>
        <v>0</v>
      </c>
      <c r="J17" s="237"/>
      <c r="K17" s="233">
        <f t="shared" si="1"/>
        <v>67022</v>
      </c>
      <c r="L17" s="233">
        <f t="shared" si="2"/>
        <v>67022</v>
      </c>
      <c r="M17" s="233">
        <f t="shared" si="3"/>
        <v>35053</v>
      </c>
      <c r="N17" s="237">
        <f t="shared" si="4"/>
        <v>0.5230073707140939</v>
      </c>
      <c r="O17" s="238">
        <f>'[4]2011_ktgv_részletező_tábla'!BD18</f>
        <v>0</v>
      </c>
      <c r="P17" s="238">
        <f>modositott_ei!BF18</f>
        <v>0</v>
      </c>
      <c r="Q17" s="238">
        <f>6m_teljesitesi_adatok!BE18</f>
        <v>0</v>
      </c>
      <c r="R17" s="238"/>
      <c r="S17" s="233">
        <f t="shared" si="5"/>
        <v>67022</v>
      </c>
      <c r="T17" s="233">
        <f t="shared" si="6"/>
        <v>67022</v>
      </c>
      <c r="U17" s="233">
        <f t="shared" si="7"/>
        <v>35053</v>
      </c>
      <c r="V17" s="249">
        <f t="shared" si="8"/>
        <v>0.5230073707140939</v>
      </c>
    </row>
    <row r="18" spans="1:22" s="7" customFormat="1" ht="12.75">
      <c r="A18" s="248"/>
      <c r="B18" s="208" t="s">
        <v>151</v>
      </c>
      <c r="C18" s="233">
        <f>'[4]2011_ktgv_részletező_tábla'!AW19</f>
        <v>200</v>
      </c>
      <c r="D18" s="233">
        <f>modositott_ei!AX19</f>
        <v>200</v>
      </c>
      <c r="E18" s="233">
        <f>6m_teljesitesi_adatok!AX19</f>
        <v>0</v>
      </c>
      <c r="F18" s="237">
        <f t="shared" si="0"/>
        <v>0</v>
      </c>
      <c r="G18" s="233">
        <f>'[4]2011_ktgv_részletező_tábla'!BB19</f>
        <v>0</v>
      </c>
      <c r="H18" s="233">
        <f>modositott_ei!BC19</f>
        <v>0</v>
      </c>
      <c r="I18" s="233">
        <f>6m_teljesitesi_adatok!BC19</f>
        <v>0</v>
      </c>
      <c r="J18" s="237"/>
      <c r="K18" s="233">
        <f t="shared" si="1"/>
        <v>200</v>
      </c>
      <c r="L18" s="233">
        <f t="shared" si="2"/>
        <v>200</v>
      </c>
      <c r="M18" s="233">
        <f t="shared" si="3"/>
        <v>0</v>
      </c>
      <c r="N18" s="237">
        <f t="shared" si="4"/>
        <v>0</v>
      </c>
      <c r="O18" s="238">
        <f>'[4]2011_ktgv_részletező_tábla'!BD19</f>
        <v>0</v>
      </c>
      <c r="P18" s="238">
        <f>modositott_ei!BF19</f>
        <v>0</v>
      </c>
      <c r="Q18" s="238">
        <f>6m_teljesitesi_adatok!BE19</f>
        <v>0</v>
      </c>
      <c r="R18" s="238"/>
      <c r="S18" s="233">
        <f t="shared" si="5"/>
        <v>200</v>
      </c>
      <c r="T18" s="233">
        <f t="shared" si="6"/>
        <v>200</v>
      </c>
      <c r="U18" s="233">
        <f t="shared" si="7"/>
        <v>0</v>
      </c>
      <c r="V18" s="249">
        <f t="shared" si="8"/>
        <v>0</v>
      </c>
    </row>
    <row r="19" spans="1:22" s="7" customFormat="1" ht="12.75">
      <c r="A19" s="248"/>
      <c r="B19" s="208" t="s">
        <v>152</v>
      </c>
      <c r="C19" s="233">
        <f>'[4]2011_ktgv_részletező_tábla'!AW20</f>
        <v>1000</v>
      </c>
      <c r="D19" s="233">
        <f>modositott_ei!AX20</f>
        <v>1000</v>
      </c>
      <c r="E19" s="233">
        <f>6m_teljesitesi_adatok!AX20</f>
        <v>842</v>
      </c>
      <c r="F19" s="237">
        <f t="shared" si="0"/>
        <v>0.842</v>
      </c>
      <c r="G19" s="233">
        <f>'[4]2011_ktgv_részletező_tábla'!BB20</f>
        <v>0</v>
      </c>
      <c r="H19" s="233">
        <f>modositott_ei!BC20</f>
        <v>0</v>
      </c>
      <c r="I19" s="233">
        <f>6m_teljesitesi_adatok!BC20</f>
        <v>0</v>
      </c>
      <c r="J19" s="237"/>
      <c r="K19" s="233">
        <f t="shared" si="1"/>
        <v>1000</v>
      </c>
      <c r="L19" s="233">
        <f t="shared" si="2"/>
        <v>1000</v>
      </c>
      <c r="M19" s="233">
        <f t="shared" si="3"/>
        <v>842</v>
      </c>
      <c r="N19" s="237">
        <f t="shared" si="4"/>
        <v>0.842</v>
      </c>
      <c r="O19" s="238">
        <f>'[4]2011_ktgv_részletező_tábla'!BD20</f>
        <v>0</v>
      </c>
      <c r="P19" s="238">
        <f>modositott_ei!BF20</f>
        <v>0</v>
      </c>
      <c r="Q19" s="238">
        <f>6m_teljesitesi_adatok!BE20</f>
        <v>0</v>
      </c>
      <c r="R19" s="238"/>
      <c r="S19" s="233">
        <f t="shared" si="5"/>
        <v>1000</v>
      </c>
      <c r="T19" s="233">
        <f t="shared" si="6"/>
        <v>1000</v>
      </c>
      <c r="U19" s="233">
        <f t="shared" si="7"/>
        <v>842</v>
      </c>
      <c r="V19" s="249">
        <f t="shared" si="8"/>
        <v>0.842</v>
      </c>
    </row>
    <row r="20" spans="1:22" s="7" customFormat="1" ht="12.75">
      <c r="A20" s="251"/>
      <c r="B20" s="208" t="s">
        <v>153</v>
      </c>
      <c r="C20" s="233">
        <f>'[4]2011_ktgv_részletező_tábla'!AW21</f>
        <v>3528.0199999999995</v>
      </c>
      <c r="D20" s="233">
        <f>modositott_ei!AX21</f>
        <v>3528</v>
      </c>
      <c r="E20" s="233">
        <f>6m_teljesitesi_adatok!AX21</f>
        <v>1698</v>
      </c>
      <c r="F20" s="237">
        <f t="shared" si="0"/>
        <v>0.4812925170068027</v>
      </c>
      <c r="G20" s="233">
        <f>'[4]2011_ktgv_részletező_tábla'!BB21</f>
        <v>0</v>
      </c>
      <c r="H20" s="233">
        <f>modositott_ei!BC21</f>
        <v>0</v>
      </c>
      <c r="I20" s="233">
        <f>6m_teljesitesi_adatok!BC21</f>
        <v>0</v>
      </c>
      <c r="J20" s="237"/>
      <c r="K20" s="233">
        <f t="shared" si="1"/>
        <v>3528.0199999999995</v>
      </c>
      <c r="L20" s="233">
        <f t="shared" si="2"/>
        <v>3528</v>
      </c>
      <c r="M20" s="233">
        <f t="shared" si="3"/>
        <v>1698</v>
      </c>
      <c r="N20" s="237">
        <f t="shared" si="4"/>
        <v>0.4812925170068027</v>
      </c>
      <c r="O20" s="238">
        <f>'[4]2011_ktgv_részletező_tábla'!BD21</f>
        <v>0</v>
      </c>
      <c r="P20" s="238">
        <f>modositott_ei!BF21</f>
        <v>0</v>
      </c>
      <c r="Q20" s="238">
        <f>6m_teljesitesi_adatok!BE21</f>
        <v>0</v>
      </c>
      <c r="R20" s="238"/>
      <c r="S20" s="233">
        <f t="shared" si="5"/>
        <v>3528.0199999999995</v>
      </c>
      <c r="T20" s="233">
        <f t="shared" si="6"/>
        <v>3528</v>
      </c>
      <c r="U20" s="233">
        <f t="shared" si="7"/>
        <v>1698</v>
      </c>
      <c r="V20" s="249">
        <f t="shared" si="8"/>
        <v>0.4812925170068027</v>
      </c>
    </row>
    <row r="21" spans="1:22" s="7" customFormat="1" ht="12.75">
      <c r="A21" s="246">
        <v>3</v>
      </c>
      <c r="B21" s="210" t="s">
        <v>72</v>
      </c>
      <c r="C21" s="92">
        <f>'[4]2011_ktgv_részletező_tábla'!AW22</f>
        <v>74995</v>
      </c>
      <c r="D21" s="158">
        <f>modositott_ei!AX22</f>
        <v>79115</v>
      </c>
      <c r="E21" s="158">
        <f>6m_teljesitesi_adatok!AX22</f>
        <v>39296</v>
      </c>
      <c r="F21" s="234">
        <f t="shared" si="0"/>
        <v>0.49669468495228464</v>
      </c>
      <c r="G21" s="226">
        <f>'[4]2011_ktgv_részletező_tábla'!BB22</f>
        <v>0</v>
      </c>
      <c r="H21" s="158">
        <f>modositott_ei!BC22</f>
        <v>0</v>
      </c>
      <c r="I21" s="158">
        <f>6m_teljesitesi_adatok!BC22</f>
        <v>0</v>
      </c>
      <c r="J21" s="234"/>
      <c r="K21" s="226">
        <f t="shared" si="1"/>
        <v>74995</v>
      </c>
      <c r="L21" s="226">
        <f t="shared" si="2"/>
        <v>79115</v>
      </c>
      <c r="M21" s="226">
        <f t="shared" si="3"/>
        <v>39296</v>
      </c>
      <c r="N21" s="234">
        <f t="shared" si="4"/>
        <v>0.49669468495228464</v>
      </c>
      <c r="O21" s="226">
        <f>'[4]2011_ktgv_részletező_tábla'!BD22</f>
        <v>0</v>
      </c>
      <c r="P21" s="158">
        <f>modositott_ei!BF22</f>
        <v>0</v>
      </c>
      <c r="Q21" s="158">
        <f>6m_teljesitesi_adatok!BE22</f>
        <v>0</v>
      </c>
      <c r="R21" s="234"/>
      <c r="S21" s="226">
        <f t="shared" si="5"/>
        <v>74995</v>
      </c>
      <c r="T21" s="226">
        <f t="shared" si="6"/>
        <v>79115</v>
      </c>
      <c r="U21" s="226">
        <f t="shared" si="7"/>
        <v>39296</v>
      </c>
      <c r="V21" s="247">
        <f t="shared" si="8"/>
        <v>0.49669468495228464</v>
      </c>
    </row>
    <row r="22" spans="1:22" s="7" customFormat="1" ht="12.75">
      <c r="A22" s="248"/>
      <c r="B22" s="211" t="s">
        <v>182</v>
      </c>
      <c r="C22" s="233">
        <f>'[4]2011_ktgv_részletező_tábla'!AW23</f>
        <v>53301</v>
      </c>
      <c r="D22" s="233">
        <f>modositott_ei!AX23</f>
        <v>53301</v>
      </c>
      <c r="E22" s="233">
        <f>6m_teljesitesi_adatok!AX23</f>
        <v>27877</v>
      </c>
      <c r="F22" s="237">
        <f t="shared" si="0"/>
        <v>0.5230108253128459</v>
      </c>
      <c r="G22" s="233">
        <f>'[4]2011_ktgv_részletező_tábla'!BB23</f>
        <v>0</v>
      </c>
      <c r="H22" s="233">
        <f>modositott_ei!BC23</f>
        <v>0</v>
      </c>
      <c r="I22" s="233">
        <f>6m_teljesitesi_adatok!BC23</f>
        <v>0</v>
      </c>
      <c r="J22" s="237"/>
      <c r="K22" s="233">
        <f t="shared" si="1"/>
        <v>53301</v>
      </c>
      <c r="L22" s="233">
        <f t="shared" si="2"/>
        <v>53301</v>
      </c>
      <c r="M22" s="233">
        <f t="shared" si="3"/>
        <v>27877</v>
      </c>
      <c r="N22" s="237">
        <f t="shared" si="4"/>
        <v>0.5230108253128459</v>
      </c>
      <c r="O22" s="238">
        <f>'[4]2011_ktgv_részletező_tábla'!BD23</f>
        <v>0</v>
      </c>
      <c r="P22" s="238">
        <f>modositott_ei!BF23</f>
        <v>0</v>
      </c>
      <c r="Q22" s="238">
        <f>6m_teljesitesi_adatok!BE23</f>
        <v>0</v>
      </c>
      <c r="R22" s="238"/>
      <c r="S22" s="233">
        <f t="shared" si="5"/>
        <v>53301</v>
      </c>
      <c r="T22" s="233">
        <f t="shared" si="6"/>
        <v>53301</v>
      </c>
      <c r="U22" s="233">
        <f t="shared" si="7"/>
        <v>27877</v>
      </c>
      <c r="V22" s="249">
        <f t="shared" si="8"/>
        <v>0.5230108253128459</v>
      </c>
    </row>
    <row r="23" spans="1:22" s="7" customFormat="1" ht="12.75">
      <c r="A23" s="248"/>
      <c r="B23" s="212" t="s">
        <v>154</v>
      </c>
      <c r="C23" s="233">
        <f>'[4]2011_ktgv_részletező_tábla'!AW24</f>
        <v>21694</v>
      </c>
      <c r="D23" s="233">
        <f>modositott_ei!AX24</f>
        <v>21694</v>
      </c>
      <c r="E23" s="233">
        <f>6m_teljesitesi_adatok!AX24</f>
        <v>10793</v>
      </c>
      <c r="F23" s="237">
        <f t="shared" si="0"/>
        <v>0.4975108324882456</v>
      </c>
      <c r="G23" s="233">
        <f>'[4]2011_ktgv_részletező_tábla'!BB24</f>
        <v>0</v>
      </c>
      <c r="H23" s="233">
        <f>modositott_ei!BC24</f>
        <v>0</v>
      </c>
      <c r="I23" s="233">
        <f>6m_teljesitesi_adatok!BC24</f>
        <v>0</v>
      </c>
      <c r="J23" s="237"/>
      <c r="K23" s="233">
        <f t="shared" si="1"/>
        <v>21694</v>
      </c>
      <c r="L23" s="233">
        <f t="shared" si="2"/>
        <v>21694</v>
      </c>
      <c r="M23" s="233">
        <f t="shared" si="3"/>
        <v>10793</v>
      </c>
      <c r="N23" s="237">
        <f t="shared" si="4"/>
        <v>0.4975108324882456</v>
      </c>
      <c r="O23" s="238">
        <f>'[4]2011_ktgv_részletező_tábla'!BD24</f>
        <v>0</v>
      </c>
      <c r="P23" s="238">
        <f>modositott_ei!BF24</f>
        <v>0</v>
      </c>
      <c r="Q23" s="238">
        <f>6m_teljesitesi_adatok!BE24</f>
        <v>0</v>
      </c>
      <c r="R23" s="238"/>
      <c r="S23" s="233">
        <f t="shared" si="5"/>
        <v>21694</v>
      </c>
      <c r="T23" s="233">
        <f t="shared" si="6"/>
        <v>21694</v>
      </c>
      <c r="U23" s="233">
        <f t="shared" si="7"/>
        <v>10793</v>
      </c>
      <c r="V23" s="249">
        <f t="shared" si="8"/>
        <v>0.4975108324882456</v>
      </c>
    </row>
    <row r="24" spans="1:22" s="7" customFormat="1" ht="12.75">
      <c r="A24" s="248"/>
      <c r="B24" s="212" t="s">
        <v>155</v>
      </c>
      <c r="C24" s="233">
        <f>'[4]2011_ktgv_részletező_tábla'!AW25</f>
        <v>0</v>
      </c>
      <c r="D24" s="233">
        <f>modositott_ei!AX25</f>
        <v>4120</v>
      </c>
      <c r="E24" s="233">
        <f>6m_teljesitesi_adatok!AX25</f>
        <v>626</v>
      </c>
      <c r="F24" s="237">
        <f t="shared" si="0"/>
        <v>0.15194174757281553</v>
      </c>
      <c r="G24" s="233">
        <f>'[4]2011_ktgv_részletező_tábla'!BB25</f>
        <v>0</v>
      </c>
      <c r="H24" s="233">
        <f>modositott_ei!BC25</f>
        <v>0</v>
      </c>
      <c r="I24" s="233">
        <f>6m_teljesitesi_adatok!BC25</f>
        <v>0</v>
      </c>
      <c r="J24" s="237"/>
      <c r="K24" s="233">
        <f t="shared" si="1"/>
        <v>0</v>
      </c>
      <c r="L24" s="233">
        <f t="shared" si="2"/>
        <v>4120</v>
      </c>
      <c r="M24" s="233">
        <f t="shared" si="3"/>
        <v>626</v>
      </c>
      <c r="N24" s="237">
        <f t="shared" si="4"/>
        <v>0.15194174757281553</v>
      </c>
      <c r="O24" s="238">
        <f>'[4]2011_ktgv_részletező_tábla'!BD25</f>
        <v>0</v>
      </c>
      <c r="P24" s="238">
        <f>modositott_ei!BF25</f>
        <v>0</v>
      </c>
      <c r="Q24" s="238">
        <f>6m_teljesitesi_adatok!BE25</f>
        <v>0</v>
      </c>
      <c r="R24" s="238"/>
      <c r="S24" s="233">
        <f t="shared" si="5"/>
        <v>0</v>
      </c>
      <c r="T24" s="233">
        <f t="shared" si="6"/>
        <v>4120</v>
      </c>
      <c r="U24" s="233">
        <f t="shared" si="7"/>
        <v>626</v>
      </c>
      <c r="V24" s="249">
        <f t="shared" si="8"/>
        <v>0.15194174757281553</v>
      </c>
    </row>
    <row r="25" spans="1:22" s="7" customFormat="1" ht="12.75">
      <c r="A25" s="246">
        <v>4</v>
      </c>
      <c r="B25" s="210" t="s">
        <v>71</v>
      </c>
      <c r="C25" s="92">
        <f>'[4]2011_ktgv_részletező_tábla'!AW26</f>
        <v>9721.75</v>
      </c>
      <c r="D25" s="158">
        <f>modositott_ei!AX26</f>
        <v>9722</v>
      </c>
      <c r="E25" s="158">
        <f>6m_teljesitesi_adatok!AX26</f>
        <v>4007</v>
      </c>
      <c r="F25" s="234">
        <f t="shared" si="0"/>
        <v>0.41215799218267846</v>
      </c>
      <c r="G25" s="226">
        <f>'[4]2011_ktgv_részletező_tábla'!BB26</f>
        <v>3735</v>
      </c>
      <c r="H25" s="158">
        <f>modositott_ei!BC26</f>
        <v>3735</v>
      </c>
      <c r="I25" s="158">
        <f>6m_teljesitesi_adatok!BC26</f>
        <v>408</v>
      </c>
      <c r="J25" s="234">
        <f>I25/H25</f>
        <v>0.10923694779116466</v>
      </c>
      <c r="K25" s="226">
        <f t="shared" si="1"/>
        <v>13456.75</v>
      </c>
      <c r="L25" s="226">
        <f t="shared" si="2"/>
        <v>13457</v>
      </c>
      <c r="M25" s="226">
        <f t="shared" si="3"/>
        <v>4415</v>
      </c>
      <c r="N25" s="234">
        <f t="shared" si="4"/>
        <v>0.32808203908746375</v>
      </c>
      <c r="O25" s="226">
        <f>'[4]2011_ktgv_részletező_tábla'!BD26</f>
        <v>210</v>
      </c>
      <c r="P25" s="158">
        <f>modositott_ei!BF26</f>
        <v>210</v>
      </c>
      <c r="Q25" s="158">
        <f>6m_teljesitesi_adatok!BE26</f>
        <v>209</v>
      </c>
      <c r="R25" s="234">
        <f>Q25/P25</f>
        <v>0.9952380952380953</v>
      </c>
      <c r="S25" s="226">
        <f t="shared" si="5"/>
        <v>13666.75</v>
      </c>
      <c r="T25" s="226">
        <f t="shared" si="6"/>
        <v>13667</v>
      </c>
      <c r="U25" s="226">
        <f t="shared" si="7"/>
        <v>4624</v>
      </c>
      <c r="V25" s="247">
        <f t="shared" si="8"/>
        <v>0.33833321138508815</v>
      </c>
    </row>
    <row r="26" spans="1:22" s="7" customFormat="1" ht="12.75">
      <c r="A26" s="252"/>
      <c r="B26" s="212" t="s">
        <v>156</v>
      </c>
      <c r="C26" s="233">
        <f>'[4]2011_ktgv_részletező_tábla'!AW27</f>
        <v>0</v>
      </c>
      <c r="D26" s="233">
        <f>modositott_ei!AX27</f>
        <v>0</v>
      </c>
      <c r="E26" s="233">
        <f>6m_teljesitesi_adatok!AX27</f>
        <v>0</v>
      </c>
      <c r="F26" s="237"/>
      <c r="G26" s="233">
        <f>'[4]2011_ktgv_részletező_tábla'!BB27</f>
        <v>3735</v>
      </c>
      <c r="H26" s="233">
        <f>modositott_ei!BC27</f>
        <v>3735</v>
      </c>
      <c r="I26" s="233">
        <f>6m_teljesitesi_adatok!BC27</f>
        <v>408</v>
      </c>
      <c r="J26" s="237">
        <f>I26/H26</f>
        <v>0.10923694779116466</v>
      </c>
      <c r="K26" s="233">
        <f t="shared" si="1"/>
        <v>3735</v>
      </c>
      <c r="L26" s="233">
        <f t="shared" si="2"/>
        <v>3735</v>
      </c>
      <c r="M26" s="233">
        <f t="shared" si="3"/>
        <v>408</v>
      </c>
      <c r="N26" s="237">
        <f t="shared" si="4"/>
        <v>0.10923694779116466</v>
      </c>
      <c r="O26" s="238">
        <f>'[4]2011_ktgv_részletező_tábla'!BD27</f>
        <v>0</v>
      </c>
      <c r="P26" s="238">
        <f>modositott_ei!BF27</f>
        <v>0</v>
      </c>
      <c r="Q26" s="238">
        <f>6m_teljesitesi_adatok!BE27</f>
        <v>0</v>
      </c>
      <c r="R26" s="238"/>
      <c r="S26" s="233">
        <f t="shared" si="5"/>
        <v>3735</v>
      </c>
      <c r="T26" s="233">
        <f t="shared" si="6"/>
        <v>3735</v>
      </c>
      <c r="U26" s="233">
        <f t="shared" si="7"/>
        <v>408</v>
      </c>
      <c r="V26" s="249">
        <f t="shared" si="8"/>
        <v>0.10923694779116466</v>
      </c>
    </row>
    <row r="27" spans="1:22" s="7" customFormat="1" ht="12.75">
      <c r="A27" s="253"/>
      <c r="B27" s="212" t="s">
        <v>157</v>
      </c>
      <c r="C27" s="233">
        <f>'[4]2011_ktgv_részletező_tábla'!AW28</f>
        <v>21</v>
      </c>
      <c r="D27" s="233">
        <f>modositott_ei!AX28</f>
        <v>21</v>
      </c>
      <c r="E27" s="233">
        <f>6m_teljesitesi_adatok!AX28</f>
        <v>0</v>
      </c>
      <c r="F27" s="237">
        <f t="shared" si="0"/>
        <v>0</v>
      </c>
      <c r="G27" s="233">
        <f>'[4]2011_ktgv_részletező_tábla'!BB28</f>
        <v>0</v>
      </c>
      <c r="H27" s="233">
        <f>modositott_ei!BC28</f>
        <v>0</v>
      </c>
      <c r="I27" s="233">
        <f>6m_teljesitesi_adatok!BC28</f>
        <v>0</v>
      </c>
      <c r="J27" s="237"/>
      <c r="K27" s="233">
        <f t="shared" si="1"/>
        <v>21</v>
      </c>
      <c r="L27" s="233">
        <f t="shared" si="2"/>
        <v>21</v>
      </c>
      <c r="M27" s="233">
        <f t="shared" si="3"/>
        <v>0</v>
      </c>
      <c r="N27" s="237">
        <f t="shared" si="4"/>
        <v>0</v>
      </c>
      <c r="O27" s="239">
        <f>'[4]2011_ktgv_részletező_tábla'!BD28</f>
        <v>210</v>
      </c>
      <c r="P27" s="239">
        <f>modositott_ei!BF28</f>
        <v>210</v>
      </c>
      <c r="Q27" s="239">
        <f>6m_teljesitesi_adatok!BE28</f>
        <v>209</v>
      </c>
      <c r="R27" s="237">
        <f>Q27/P27</f>
        <v>0.9952380952380953</v>
      </c>
      <c r="S27" s="233">
        <f t="shared" si="5"/>
        <v>231</v>
      </c>
      <c r="T27" s="233">
        <f t="shared" si="6"/>
        <v>231</v>
      </c>
      <c r="U27" s="233">
        <f t="shared" si="7"/>
        <v>209</v>
      </c>
      <c r="V27" s="249">
        <f t="shared" si="8"/>
        <v>0.9047619047619048</v>
      </c>
    </row>
    <row r="28" spans="1:22" s="7" customFormat="1" ht="12.75">
      <c r="A28" s="253"/>
      <c r="B28" s="212" t="s">
        <v>158</v>
      </c>
      <c r="C28" s="233">
        <f>'[4]2011_ktgv_részletező_tábla'!AW29</f>
        <v>5960.75</v>
      </c>
      <c r="D28" s="233">
        <f>modositott_ei!AX29</f>
        <v>5961</v>
      </c>
      <c r="E28" s="233">
        <f>6m_teljesitesi_adatok!AX29</f>
        <v>2350</v>
      </c>
      <c r="F28" s="237">
        <f t="shared" si="0"/>
        <v>0.3942291561818487</v>
      </c>
      <c r="G28" s="233">
        <f>'[4]2011_ktgv_részletező_tábla'!BB29</f>
        <v>0</v>
      </c>
      <c r="H28" s="233">
        <f>modositott_ei!BC29</f>
        <v>0</v>
      </c>
      <c r="I28" s="233">
        <f>6m_teljesitesi_adatok!BC29</f>
        <v>0</v>
      </c>
      <c r="J28" s="237"/>
      <c r="K28" s="233">
        <f t="shared" si="1"/>
        <v>5960.75</v>
      </c>
      <c r="L28" s="233">
        <f t="shared" si="2"/>
        <v>5961</v>
      </c>
      <c r="M28" s="233">
        <f t="shared" si="3"/>
        <v>2350</v>
      </c>
      <c r="N28" s="237">
        <f t="shared" si="4"/>
        <v>0.3942291561818487</v>
      </c>
      <c r="O28" s="238">
        <f>'[4]2011_ktgv_részletező_tábla'!BD29</f>
        <v>0</v>
      </c>
      <c r="P28" s="238">
        <f>modositott_ei!BF29</f>
        <v>0</v>
      </c>
      <c r="Q28" s="238">
        <f>6m_teljesitesi_adatok!BE29</f>
        <v>0</v>
      </c>
      <c r="R28" s="238"/>
      <c r="S28" s="233">
        <f t="shared" si="5"/>
        <v>5960.75</v>
      </c>
      <c r="T28" s="233">
        <f t="shared" si="6"/>
        <v>5961</v>
      </c>
      <c r="U28" s="233">
        <f t="shared" si="7"/>
        <v>2350</v>
      </c>
      <c r="V28" s="249">
        <f t="shared" si="8"/>
        <v>0.3942291561818487</v>
      </c>
    </row>
    <row r="29" spans="1:22" s="7" customFormat="1" ht="12.75">
      <c r="A29" s="254"/>
      <c r="B29" s="212" t="s">
        <v>159</v>
      </c>
      <c r="C29" s="233">
        <f>'[4]2011_ktgv_részletező_tábla'!AW30</f>
        <v>3740</v>
      </c>
      <c r="D29" s="233">
        <f>modositott_ei!AX30</f>
        <v>3740</v>
      </c>
      <c r="E29" s="233">
        <f>6m_teljesitesi_adatok!AX30</f>
        <v>1657</v>
      </c>
      <c r="F29" s="237">
        <f t="shared" si="0"/>
        <v>0.443048128342246</v>
      </c>
      <c r="G29" s="233">
        <f>'[4]2011_ktgv_részletező_tábla'!BB30</f>
        <v>0</v>
      </c>
      <c r="H29" s="233">
        <f>modositott_ei!BC30</f>
        <v>0</v>
      </c>
      <c r="I29" s="233">
        <f>6m_teljesitesi_adatok!BC30</f>
        <v>0</v>
      </c>
      <c r="J29" s="237"/>
      <c r="K29" s="233">
        <f t="shared" si="1"/>
        <v>3740</v>
      </c>
      <c r="L29" s="233">
        <f t="shared" si="2"/>
        <v>3740</v>
      </c>
      <c r="M29" s="233">
        <f t="shared" si="3"/>
        <v>1657</v>
      </c>
      <c r="N29" s="237">
        <f t="shared" si="4"/>
        <v>0.443048128342246</v>
      </c>
      <c r="O29" s="238">
        <f>'[4]2011_ktgv_részletező_tábla'!BD30</f>
        <v>0</v>
      </c>
      <c r="P29" s="238">
        <f>modositott_ei!BF30</f>
        <v>0</v>
      </c>
      <c r="Q29" s="238">
        <f>6m_teljesitesi_adatok!BE30</f>
        <v>0</v>
      </c>
      <c r="R29" s="238"/>
      <c r="S29" s="233">
        <f t="shared" si="5"/>
        <v>3740</v>
      </c>
      <c r="T29" s="233">
        <f t="shared" si="6"/>
        <v>3740</v>
      </c>
      <c r="U29" s="233">
        <f t="shared" si="7"/>
        <v>1657</v>
      </c>
      <c r="V29" s="249">
        <f t="shared" si="8"/>
        <v>0.443048128342246</v>
      </c>
    </row>
    <row r="30" spans="1:22" s="7" customFormat="1" ht="12.75">
      <c r="A30" s="246">
        <v>5</v>
      </c>
      <c r="B30" s="210" t="s">
        <v>70</v>
      </c>
      <c r="C30" s="92">
        <f>'[4]2011_ktgv_részletező_tábla'!AW31</f>
        <v>474</v>
      </c>
      <c r="D30" s="158">
        <f>modositott_ei!AX31</f>
        <v>474</v>
      </c>
      <c r="E30" s="158">
        <f>6m_teljesitesi_adatok!AX31</f>
        <v>237</v>
      </c>
      <c r="F30" s="234">
        <f t="shared" si="0"/>
        <v>0.5</v>
      </c>
      <c r="G30" s="226">
        <f>'[4]2011_ktgv_részletező_tábla'!BB31</f>
        <v>0</v>
      </c>
      <c r="H30" s="158">
        <f>modositott_ei!BC31</f>
        <v>0</v>
      </c>
      <c r="I30" s="158">
        <f>6m_teljesitesi_adatok!BC31</f>
        <v>0</v>
      </c>
      <c r="J30" s="234"/>
      <c r="K30" s="226">
        <f t="shared" si="1"/>
        <v>474</v>
      </c>
      <c r="L30" s="226">
        <f t="shared" si="2"/>
        <v>474</v>
      </c>
      <c r="M30" s="226">
        <f t="shared" si="3"/>
        <v>237</v>
      </c>
      <c r="N30" s="234">
        <f t="shared" si="4"/>
        <v>0.5</v>
      </c>
      <c r="O30" s="226">
        <f>'[4]2011_ktgv_részletező_tábla'!BD31</f>
        <v>0</v>
      </c>
      <c r="P30" s="158">
        <f>modositott_ei!BF31</f>
        <v>0</v>
      </c>
      <c r="Q30" s="158">
        <f>6m_teljesitesi_adatok!BE31</f>
        <v>0</v>
      </c>
      <c r="R30" s="234"/>
      <c r="S30" s="226">
        <f t="shared" si="5"/>
        <v>474</v>
      </c>
      <c r="T30" s="226">
        <f t="shared" si="6"/>
        <v>474</v>
      </c>
      <c r="U30" s="226">
        <f t="shared" si="7"/>
        <v>237</v>
      </c>
      <c r="V30" s="247">
        <f t="shared" si="8"/>
        <v>0.5</v>
      </c>
    </row>
    <row r="31" spans="1:22" s="7" customFormat="1" ht="12.75">
      <c r="A31" s="255"/>
      <c r="B31" s="212" t="s">
        <v>160</v>
      </c>
      <c r="C31" s="233">
        <f>'[4]2011_ktgv_részletező_tábla'!AW32</f>
        <v>474</v>
      </c>
      <c r="D31" s="233">
        <f>modositott_ei!AX32</f>
        <v>474</v>
      </c>
      <c r="E31" s="233">
        <f>6m_teljesitesi_adatok!AX32</f>
        <v>237</v>
      </c>
      <c r="F31" s="237">
        <f t="shared" si="0"/>
        <v>0.5</v>
      </c>
      <c r="G31" s="233">
        <f>'[4]2011_ktgv_részletező_tábla'!BB32</f>
        <v>0</v>
      </c>
      <c r="H31" s="233">
        <f>modositott_ei!BC32</f>
        <v>0</v>
      </c>
      <c r="I31" s="233">
        <f>6m_teljesitesi_adatok!BC32</f>
        <v>0</v>
      </c>
      <c r="J31" s="237"/>
      <c r="K31" s="233">
        <f t="shared" si="1"/>
        <v>474</v>
      </c>
      <c r="L31" s="233">
        <f t="shared" si="2"/>
        <v>474</v>
      </c>
      <c r="M31" s="233">
        <f t="shared" si="3"/>
        <v>237</v>
      </c>
      <c r="N31" s="237">
        <f t="shared" si="4"/>
        <v>0.5</v>
      </c>
      <c r="O31" s="238">
        <f>'[4]2011_ktgv_részletező_tábla'!BD32</f>
        <v>0</v>
      </c>
      <c r="P31" s="238">
        <f>modositott_ei!BF32</f>
        <v>0</v>
      </c>
      <c r="Q31" s="238">
        <f>6m_teljesitesi_adatok!BE32</f>
        <v>0</v>
      </c>
      <c r="R31" s="238"/>
      <c r="S31" s="233">
        <f t="shared" si="5"/>
        <v>474</v>
      </c>
      <c r="T31" s="233">
        <f t="shared" si="6"/>
        <v>474</v>
      </c>
      <c r="U31" s="233">
        <f t="shared" si="7"/>
        <v>237</v>
      </c>
      <c r="V31" s="249">
        <f t="shared" si="8"/>
        <v>0.5</v>
      </c>
    </row>
    <row r="32" spans="1:22" s="7" customFormat="1" ht="12.75">
      <c r="A32" s="246">
        <v>6</v>
      </c>
      <c r="B32" s="213" t="s">
        <v>68</v>
      </c>
      <c r="C32" s="92">
        <f>'[4]2011_ktgv_részletező_tábla'!AW33</f>
        <v>2282</v>
      </c>
      <c r="D32" s="158">
        <f>modositott_ei!AX33</f>
        <v>2282</v>
      </c>
      <c r="E32" s="158">
        <f>6m_teljesitesi_adatok!AX33</f>
        <v>2282</v>
      </c>
      <c r="F32" s="234">
        <f t="shared" si="0"/>
        <v>1</v>
      </c>
      <c r="G32" s="226">
        <f>'[4]2011_ktgv_részletező_tábla'!BB33</f>
        <v>0</v>
      </c>
      <c r="H32" s="158">
        <f>modositott_ei!BC33</f>
        <v>0</v>
      </c>
      <c r="I32" s="158">
        <f>6m_teljesitesi_adatok!BC33</f>
        <v>0</v>
      </c>
      <c r="J32" s="234"/>
      <c r="K32" s="226">
        <f t="shared" si="1"/>
        <v>2282</v>
      </c>
      <c r="L32" s="226">
        <f t="shared" si="2"/>
        <v>2282</v>
      </c>
      <c r="M32" s="226">
        <f t="shared" si="3"/>
        <v>2282</v>
      </c>
      <c r="N32" s="234">
        <f t="shared" si="4"/>
        <v>1</v>
      </c>
      <c r="O32" s="226">
        <f>'[4]2011_ktgv_részletező_tábla'!BD33</f>
        <v>0</v>
      </c>
      <c r="P32" s="158">
        <f>modositott_ei!BF33</f>
        <v>0</v>
      </c>
      <c r="Q32" s="158">
        <f>6m_teljesitesi_adatok!BE33</f>
        <v>0</v>
      </c>
      <c r="R32" s="234"/>
      <c r="S32" s="226">
        <f t="shared" si="5"/>
        <v>2282</v>
      </c>
      <c r="T32" s="226">
        <f t="shared" si="6"/>
        <v>2282</v>
      </c>
      <c r="U32" s="226">
        <f t="shared" si="7"/>
        <v>2282</v>
      </c>
      <c r="V32" s="247">
        <f t="shared" si="8"/>
        <v>1</v>
      </c>
    </row>
    <row r="33" spans="1:22" s="7" customFormat="1" ht="12.75">
      <c r="A33" s="255"/>
      <c r="B33" s="212" t="s">
        <v>161</v>
      </c>
      <c r="C33" s="233">
        <f>'[4]2011_ktgv_részletező_tábla'!AW34</f>
        <v>2282</v>
      </c>
      <c r="D33" s="233">
        <f>modositott_ei!AX34</f>
        <v>2282</v>
      </c>
      <c r="E33" s="233">
        <f>6m_teljesitesi_adatok!AX34</f>
        <v>2282</v>
      </c>
      <c r="F33" s="237">
        <f t="shared" si="0"/>
        <v>1</v>
      </c>
      <c r="G33" s="233">
        <f>'[4]2011_ktgv_részletező_tábla'!BB34</f>
        <v>0</v>
      </c>
      <c r="H33" s="233">
        <f>modositott_ei!BC34</f>
        <v>0</v>
      </c>
      <c r="I33" s="233">
        <f>6m_teljesitesi_adatok!BC34</f>
        <v>0</v>
      </c>
      <c r="J33" s="236"/>
      <c r="K33" s="233">
        <f t="shared" si="1"/>
        <v>2282</v>
      </c>
      <c r="L33" s="233">
        <f t="shared" si="2"/>
        <v>2282</v>
      </c>
      <c r="M33" s="233">
        <f t="shared" si="3"/>
        <v>2282</v>
      </c>
      <c r="N33" s="237">
        <f t="shared" si="4"/>
        <v>1</v>
      </c>
      <c r="O33" s="238">
        <f>'[4]2011_ktgv_részletező_tábla'!BD34</f>
        <v>0</v>
      </c>
      <c r="P33" s="238">
        <f>modositott_ei!BF34</f>
        <v>0</v>
      </c>
      <c r="Q33" s="238">
        <f>6m_teljesitesi_adatok!BE34</f>
        <v>0</v>
      </c>
      <c r="R33" s="238"/>
      <c r="S33" s="233">
        <f t="shared" si="5"/>
        <v>2282</v>
      </c>
      <c r="T33" s="233">
        <f t="shared" si="6"/>
        <v>2282</v>
      </c>
      <c r="U33" s="233">
        <f t="shared" si="7"/>
        <v>2282</v>
      </c>
      <c r="V33" s="249">
        <f t="shared" si="8"/>
        <v>1</v>
      </c>
    </row>
    <row r="34" spans="1:22" s="7" customFormat="1" ht="12.75">
      <c r="A34" s="246">
        <v>7</v>
      </c>
      <c r="B34" s="210" t="s">
        <v>63</v>
      </c>
      <c r="C34" s="92">
        <f>'[4]2011_ktgv_részletező_tábla'!AW35</f>
        <v>0</v>
      </c>
      <c r="D34" s="158">
        <f>modositott_ei!AX35</f>
        <v>0</v>
      </c>
      <c r="E34" s="158">
        <f>6m_teljesitesi_adatok!AX35</f>
        <v>0</v>
      </c>
      <c r="F34" s="234"/>
      <c r="G34" s="226">
        <f>'[4]2011_ktgv_részletező_tábla'!BB35</f>
        <v>0</v>
      </c>
      <c r="H34" s="158">
        <f>modositott_ei!BC35</f>
        <v>0</v>
      </c>
      <c r="I34" s="158">
        <f>6m_teljesitesi_adatok!BC35</f>
        <v>0</v>
      </c>
      <c r="J34" s="234"/>
      <c r="K34" s="226">
        <f t="shared" si="1"/>
        <v>0</v>
      </c>
      <c r="L34" s="226">
        <f t="shared" si="2"/>
        <v>0</v>
      </c>
      <c r="M34" s="226">
        <f t="shared" si="3"/>
        <v>0</v>
      </c>
      <c r="N34" s="234"/>
      <c r="O34" s="226">
        <f>'[4]2011_ktgv_részletező_tábla'!BD35</f>
        <v>0</v>
      </c>
      <c r="P34" s="158">
        <f>modositott_ei!BF35</f>
        <v>0</v>
      </c>
      <c r="Q34" s="158">
        <f>6m_teljesitesi_adatok!BE35</f>
        <v>0</v>
      </c>
      <c r="R34" s="234"/>
      <c r="S34" s="226">
        <f t="shared" si="5"/>
        <v>0</v>
      </c>
      <c r="T34" s="226">
        <f t="shared" si="6"/>
        <v>0</v>
      </c>
      <c r="U34" s="226">
        <f t="shared" si="7"/>
        <v>0</v>
      </c>
      <c r="V34" s="247"/>
    </row>
    <row r="35" spans="1:22" s="7" customFormat="1" ht="12.75">
      <c r="A35" s="255"/>
      <c r="B35" s="212" t="s">
        <v>162</v>
      </c>
      <c r="C35" s="233">
        <f>'[4]2011_ktgv_részletező_tábla'!AW36</f>
        <v>0</v>
      </c>
      <c r="D35" s="233">
        <f>modositott_ei!AX36</f>
        <v>0</v>
      </c>
      <c r="E35" s="233">
        <f>6m_teljesitesi_adatok!AX36</f>
        <v>0</v>
      </c>
      <c r="F35" s="237"/>
      <c r="G35" s="233">
        <f>'[4]2011_ktgv_részletező_tábla'!BB36</f>
        <v>0</v>
      </c>
      <c r="H35" s="233">
        <f>modositott_ei!BC36</f>
        <v>0</v>
      </c>
      <c r="I35" s="233">
        <f>6m_teljesitesi_adatok!BC36</f>
        <v>0</v>
      </c>
      <c r="J35" s="236"/>
      <c r="K35" s="233">
        <f t="shared" si="1"/>
        <v>0</v>
      </c>
      <c r="L35" s="233">
        <f t="shared" si="2"/>
        <v>0</v>
      </c>
      <c r="M35" s="233">
        <f t="shared" si="3"/>
        <v>0</v>
      </c>
      <c r="N35" s="237"/>
      <c r="O35" s="238">
        <f>'[4]2011_ktgv_részletező_tábla'!BD36</f>
        <v>0</v>
      </c>
      <c r="P35" s="238">
        <f>modositott_ei!BF36</f>
        <v>0</v>
      </c>
      <c r="Q35" s="238">
        <f>6m_teljesitesi_adatok!BE36</f>
        <v>0</v>
      </c>
      <c r="R35" s="238"/>
      <c r="S35" s="233">
        <f t="shared" si="5"/>
        <v>0</v>
      </c>
      <c r="T35" s="233">
        <f t="shared" si="6"/>
        <v>0</v>
      </c>
      <c r="U35" s="233">
        <f t="shared" si="7"/>
        <v>0</v>
      </c>
      <c r="V35" s="249"/>
    </row>
    <row r="36" spans="1:22" s="7" customFormat="1" ht="15.75">
      <c r="A36" s="245" t="s">
        <v>79</v>
      </c>
      <c r="B36" s="100"/>
      <c r="C36" s="92">
        <f>'[4]2011_ktgv_részletező_tábla'!AW37</f>
        <v>0</v>
      </c>
      <c r="D36" s="158">
        <f>modositott_ei!AX37</f>
        <v>0</v>
      </c>
      <c r="E36" s="158">
        <f>6m_teljesitesi_adatok!AX37</f>
        <v>0</v>
      </c>
      <c r="F36" s="234"/>
      <c r="G36" s="226">
        <f>'[4]2011_ktgv_részletező_tábla'!BB37</f>
        <v>0</v>
      </c>
      <c r="H36" s="158">
        <f>modositott_ei!BC37</f>
        <v>0</v>
      </c>
      <c r="I36" s="158">
        <f>6m_teljesitesi_adatok!BC37</f>
        <v>0</v>
      </c>
      <c r="J36" s="234"/>
      <c r="K36" s="226">
        <f t="shared" si="1"/>
        <v>0</v>
      </c>
      <c r="L36" s="226">
        <f t="shared" si="2"/>
        <v>0</v>
      </c>
      <c r="M36" s="226">
        <f t="shared" si="3"/>
        <v>0</v>
      </c>
      <c r="N36" s="234"/>
      <c r="O36" s="226">
        <f>'[4]2011_ktgv_részletező_tábla'!BD37</f>
        <v>0</v>
      </c>
      <c r="P36" s="158">
        <f>modositott_ei!BF37</f>
        <v>0</v>
      </c>
      <c r="Q36" s="158">
        <f>6m_teljesitesi_adatok!BE37</f>
        <v>0</v>
      </c>
      <c r="R36" s="234"/>
      <c r="S36" s="226">
        <f t="shared" si="5"/>
        <v>0</v>
      </c>
      <c r="T36" s="226">
        <f t="shared" si="6"/>
        <v>0</v>
      </c>
      <c r="U36" s="226">
        <f t="shared" si="7"/>
        <v>0</v>
      </c>
      <c r="V36" s="247"/>
    </row>
    <row r="37" spans="1:22" s="7" customFormat="1" ht="12.75">
      <c r="A37" s="246">
        <v>8</v>
      </c>
      <c r="B37" s="207" t="s">
        <v>73</v>
      </c>
      <c r="C37" s="92">
        <f>'[4]2011_ktgv_részletező_tábla'!AW38</f>
        <v>16670</v>
      </c>
      <c r="D37" s="158">
        <f>modositott_ei!AX38</f>
        <v>16670</v>
      </c>
      <c r="E37" s="158">
        <f>6m_teljesitesi_adatok!AX38</f>
        <v>70</v>
      </c>
      <c r="F37" s="234">
        <f t="shared" si="0"/>
        <v>0.004199160167966407</v>
      </c>
      <c r="G37" s="226">
        <f>'[4]2011_ktgv_részletező_tábla'!BB38</f>
        <v>0</v>
      </c>
      <c r="H37" s="158">
        <f>modositott_ei!BC38</f>
        <v>0</v>
      </c>
      <c r="I37" s="158">
        <f>6m_teljesitesi_adatok!BC38</f>
        <v>0</v>
      </c>
      <c r="J37" s="234"/>
      <c r="K37" s="226">
        <f t="shared" si="1"/>
        <v>16670</v>
      </c>
      <c r="L37" s="226">
        <f t="shared" si="2"/>
        <v>16670</v>
      </c>
      <c r="M37" s="226">
        <f t="shared" si="3"/>
        <v>70</v>
      </c>
      <c r="N37" s="234">
        <f t="shared" si="4"/>
        <v>0.004199160167966407</v>
      </c>
      <c r="O37" s="226">
        <f>'[4]2011_ktgv_részletező_tábla'!BD38</f>
        <v>0</v>
      </c>
      <c r="P37" s="158">
        <f>modositott_ei!BF38</f>
        <v>0</v>
      </c>
      <c r="Q37" s="158">
        <f>6m_teljesitesi_adatok!BE38</f>
        <v>0</v>
      </c>
      <c r="R37" s="234"/>
      <c r="S37" s="226">
        <f t="shared" si="5"/>
        <v>16670</v>
      </c>
      <c r="T37" s="226">
        <f t="shared" si="6"/>
        <v>16670</v>
      </c>
      <c r="U37" s="226">
        <f t="shared" si="7"/>
        <v>70</v>
      </c>
      <c r="V37" s="247">
        <f t="shared" si="8"/>
        <v>0.004199160167966407</v>
      </c>
    </row>
    <row r="38" spans="1:22" s="7" customFormat="1" ht="12.75">
      <c r="A38" s="250"/>
      <c r="B38" s="214" t="s">
        <v>163</v>
      </c>
      <c r="C38" s="233">
        <f>'[4]2011_ktgv_részletező_tábla'!AW39</f>
        <v>16670</v>
      </c>
      <c r="D38" s="233">
        <f>modositott_ei!AX39</f>
        <v>16670</v>
      </c>
      <c r="E38" s="233">
        <f>6m_teljesitesi_adatok!AX39</f>
        <v>70</v>
      </c>
      <c r="F38" s="237">
        <f t="shared" si="0"/>
        <v>0.004199160167966407</v>
      </c>
      <c r="G38" s="233">
        <f>'[4]2011_ktgv_részletező_tábla'!BB39</f>
        <v>0</v>
      </c>
      <c r="H38" s="233">
        <f>modositott_ei!BC39</f>
        <v>0</v>
      </c>
      <c r="I38" s="233">
        <f>6m_teljesitesi_adatok!BC39</f>
        <v>0</v>
      </c>
      <c r="J38" s="236"/>
      <c r="K38" s="233">
        <f t="shared" si="1"/>
        <v>16670</v>
      </c>
      <c r="L38" s="233">
        <f t="shared" si="2"/>
        <v>16670</v>
      </c>
      <c r="M38" s="233">
        <f t="shared" si="3"/>
        <v>70</v>
      </c>
      <c r="N38" s="237">
        <f t="shared" si="4"/>
        <v>0.004199160167966407</v>
      </c>
      <c r="O38" s="238">
        <f>'[4]2011_ktgv_részletező_tábla'!BD39</f>
        <v>0</v>
      </c>
      <c r="P38" s="238">
        <f>modositott_ei!BF39</f>
        <v>0</v>
      </c>
      <c r="Q38" s="238">
        <f>6m_teljesitesi_adatok!BE39</f>
        <v>0</v>
      </c>
      <c r="R38" s="238"/>
      <c r="S38" s="233">
        <f t="shared" si="5"/>
        <v>16670</v>
      </c>
      <c r="T38" s="233">
        <f t="shared" si="6"/>
        <v>16670</v>
      </c>
      <c r="U38" s="233">
        <f t="shared" si="7"/>
        <v>70</v>
      </c>
      <c r="V38" s="249">
        <f t="shared" si="8"/>
        <v>0.004199160167966407</v>
      </c>
    </row>
    <row r="39" spans="1:22" s="7" customFormat="1" ht="12.75">
      <c r="A39" s="246">
        <v>9</v>
      </c>
      <c r="B39" s="207" t="s">
        <v>80</v>
      </c>
      <c r="C39" s="92">
        <f>'[4]2011_ktgv_részletező_tábla'!AW40</f>
        <v>14759.6875</v>
      </c>
      <c r="D39" s="158">
        <f>modositott_ei!AX40</f>
        <v>39628</v>
      </c>
      <c r="E39" s="158">
        <f>6m_teljesitesi_adatok!AX40</f>
        <v>38538</v>
      </c>
      <c r="F39" s="234">
        <f t="shared" si="0"/>
        <v>0.972494196023014</v>
      </c>
      <c r="G39" s="226">
        <f>'[4]2011_ktgv_részletező_tábla'!BB40</f>
        <v>0</v>
      </c>
      <c r="H39" s="158">
        <f>modositott_ei!BC40</f>
        <v>0</v>
      </c>
      <c r="I39" s="158">
        <f>6m_teljesitesi_adatok!BC40</f>
        <v>0</v>
      </c>
      <c r="J39" s="234"/>
      <c r="K39" s="226">
        <f t="shared" si="1"/>
        <v>14759.6875</v>
      </c>
      <c r="L39" s="226">
        <f t="shared" si="2"/>
        <v>39628</v>
      </c>
      <c r="M39" s="226">
        <f t="shared" si="3"/>
        <v>38538</v>
      </c>
      <c r="N39" s="234">
        <f t="shared" si="4"/>
        <v>0.972494196023014</v>
      </c>
      <c r="O39" s="226">
        <f>'[4]2011_ktgv_részletező_tábla'!BD40</f>
        <v>0</v>
      </c>
      <c r="P39" s="158">
        <f>modositott_ei!BF40</f>
        <v>0</v>
      </c>
      <c r="Q39" s="158">
        <f>6m_teljesitesi_adatok!BE40</f>
        <v>0</v>
      </c>
      <c r="R39" s="234"/>
      <c r="S39" s="226">
        <f t="shared" si="5"/>
        <v>14759.6875</v>
      </c>
      <c r="T39" s="226">
        <f t="shared" si="6"/>
        <v>39628</v>
      </c>
      <c r="U39" s="226">
        <f t="shared" si="7"/>
        <v>38538</v>
      </c>
      <c r="V39" s="247">
        <f t="shared" si="8"/>
        <v>0.972494196023014</v>
      </c>
    </row>
    <row r="40" spans="1:22" s="7" customFormat="1" ht="12.75">
      <c r="A40" s="248"/>
      <c r="B40" s="215" t="s">
        <v>164</v>
      </c>
      <c r="C40" s="233">
        <f>'[4]2011_ktgv_részletező_tábla'!AW41</f>
        <v>14759.6875</v>
      </c>
      <c r="D40" s="233">
        <f>modositott_ei!AX41</f>
        <v>39628</v>
      </c>
      <c r="E40" s="233">
        <f>6m_teljesitesi_adatok!AX41</f>
        <v>38538</v>
      </c>
      <c r="F40" s="237">
        <f t="shared" si="0"/>
        <v>0.972494196023014</v>
      </c>
      <c r="G40" s="233">
        <f>'[4]2011_ktgv_részletező_tábla'!BB41</f>
        <v>0</v>
      </c>
      <c r="H40" s="233">
        <f>modositott_ei!BC41</f>
        <v>0</v>
      </c>
      <c r="I40" s="233">
        <f>6m_teljesitesi_adatok!BC41</f>
        <v>0</v>
      </c>
      <c r="J40" s="236"/>
      <c r="K40" s="233">
        <f t="shared" si="1"/>
        <v>14759.6875</v>
      </c>
      <c r="L40" s="233">
        <f t="shared" si="2"/>
        <v>39628</v>
      </c>
      <c r="M40" s="233">
        <f t="shared" si="3"/>
        <v>38538</v>
      </c>
      <c r="N40" s="237">
        <f t="shared" si="4"/>
        <v>0.972494196023014</v>
      </c>
      <c r="O40" s="238">
        <f>'[4]2011_ktgv_részletező_tábla'!BD41</f>
        <v>0</v>
      </c>
      <c r="P40" s="238">
        <f>modositott_ei!BF41</f>
        <v>0</v>
      </c>
      <c r="Q40" s="238">
        <f>6m_teljesitesi_adatok!BE41</f>
        <v>0</v>
      </c>
      <c r="R40" s="238"/>
      <c r="S40" s="233">
        <f t="shared" si="5"/>
        <v>14759.6875</v>
      </c>
      <c r="T40" s="233">
        <f t="shared" si="6"/>
        <v>39628</v>
      </c>
      <c r="U40" s="233">
        <f t="shared" si="7"/>
        <v>38538</v>
      </c>
      <c r="V40" s="249">
        <f t="shared" si="8"/>
        <v>0.972494196023014</v>
      </c>
    </row>
    <row r="41" spans="1:22" s="11" customFormat="1" ht="12.75">
      <c r="A41" s="246">
        <v>10</v>
      </c>
      <c r="B41" s="210" t="s">
        <v>214</v>
      </c>
      <c r="C41" s="92">
        <f>'[4]2011_ktgv_részletező_tábla'!AW42</f>
        <v>0</v>
      </c>
      <c r="D41" s="158">
        <f>modositott_ei!AX42</f>
        <v>0</v>
      </c>
      <c r="E41" s="158">
        <f>6m_teljesitesi_adatok!AX42</f>
        <v>3497</v>
      </c>
      <c r="F41" s="234"/>
      <c r="G41" s="226">
        <f>'[4]2011_ktgv_részletező_tábla'!BB42</f>
        <v>0</v>
      </c>
      <c r="H41" s="158">
        <f>modositott_ei!BC42</f>
        <v>0</v>
      </c>
      <c r="I41" s="158">
        <f>6m_teljesitesi_adatok!BC42</f>
        <v>0</v>
      </c>
      <c r="J41" s="234"/>
      <c r="K41" s="226">
        <f t="shared" si="1"/>
        <v>0</v>
      </c>
      <c r="L41" s="226">
        <f t="shared" si="2"/>
        <v>0</v>
      </c>
      <c r="M41" s="226">
        <f t="shared" si="3"/>
        <v>3497</v>
      </c>
      <c r="N41" s="234"/>
      <c r="O41" s="226">
        <f>'[4]2011_ktgv_részletező_tábla'!BD42</f>
        <v>0</v>
      </c>
      <c r="P41" s="158">
        <f>modositott_ei!BF42</f>
        <v>0</v>
      </c>
      <c r="Q41" s="158">
        <f>6m_teljesitesi_adatok!BE42</f>
        <v>0</v>
      </c>
      <c r="R41" s="234"/>
      <c r="S41" s="226">
        <f t="shared" si="5"/>
        <v>0</v>
      </c>
      <c r="T41" s="226">
        <f t="shared" si="6"/>
        <v>0</v>
      </c>
      <c r="U41" s="226">
        <f t="shared" si="7"/>
        <v>3497</v>
      </c>
      <c r="V41" s="247"/>
    </row>
    <row r="42" spans="1:22" s="10" customFormat="1" ht="12.75">
      <c r="A42" s="255"/>
      <c r="B42" s="216" t="s">
        <v>212</v>
      </c>
      <c r="C42" s="233">
        <f>'[4]2011_ktgv_részletező_tábla'!AW43</f>
        <v>0</v>
      </c>
      <c r="D42" s="233">
        <f>modositott_ei!AX43</f>
        <v>0</v>
      </c>
      <c r="E42" s="233">
        <f>6m_teljesitesi_adatok!AX43</f>
        <v>3497</v>
      </c>
      <c r="F42" s="237"/>
      <c r="G42" s="233">
        <f>'[4]2011_ktgv_részletező_tábla'!BB43</f>
        <v>0</v>
      </c>
      <c r="H42" s="233">
        <f>modositott_ei!BC43</f>
        <v>0</v>
      </c>
      <c r="I42" s="233">
        <f>6m_teljesitesi_adatok!BC43</f>
        <v>0</v>
      </c>
      <c r="J42" s="236"/>
      <c r="K42" s="233">
        <f t="shared" si="1"/>
        <v>0</v>
      </c>
      <c r="L42" s="233">
        <f t="shared" si="2"/>
        <v>0</v>
      </c>
      <c r="M42" s="233">
        <f t="shared" si="3"/>
        <v>3497</v>
      </c>
      <c r="N42" s="237"/>
      <c r="O42" s="238">
        <f>'[4]2011_ktgv_részletező_tábla'!BD43</f>
        <v>0</v>
      </c>
      <c r="P42" s="238">
        <f>modositott_ei!BF43</f>
        <v>0</v>
      </c>
      <c r="Q42" s="238">
        <f>6m_teljesitesi_adatok!BE43</f>
        <v>0</v>
      </c>
      <c r="R42" s="238"/>
      <c r="S42" s="233">
        <f t="shared" si="5"/>
        <v>0</v>
      </c>
      <c r="T42" s="233">
        <f t="shared" si="6"/>
        <v>0</v>
      </c>
      <c r="U42" s="233">
        <f t="shared" si="7"/>
        <v>3497</v>
      </c>
      <c r="V42" s="249"/>
    </row>
    <row r="43" spans="1:22" s="7" customFormat="1" ht="12.75">
      <c r="A43" s="246">
        <v>11</v>
      </c>
      <c r="B43" s="217" t="s">
        <v>69</v>
      </c>
      <c r="C43" s="92">
        <f>'[4]2011_ktgv_részletező_tábla'!AW44</f>
        <v>4600</v>
      </c>
      <c r="D43" s="158">
        <f>modositott_ei!AX44</f>
        <v>4600</v>
      </c>
      <c r="E43" s="158">
        <f>6m_teljesitesi_adatok!AX44</f>
        <v>2170</v>
      </c>
      <c r="F43" s="234">
        <f t="shared" si="0"/>
        <v>0.4717391304347826</v>
      </c>
      <c r="G43" s="226">
        <f>'[4]2011_ktgv_részletező_tábla'!BB44</f>
        <v>0</v>
      </c>
      <c r="H43" s="158">
        <f>modositott_ei!BC44</f>
        <v>0</v>
      </c>
      <c r="I43" s="158">
        <f>6m_teljesitesi_adatok!BC44</f>
        <v>0</v>
      </c>
      <c r="J43" s="234"/>
      <c r="K43" s="226">
        <f t="shared" si="1"/>
        <v>4600</v>
      </c>
      <c r="L43" s="226">
        <f t="shared" si="2"/>
        <v>4600</v>
      </c>
      <c r="M43" s="226">
        <f t="shared" si="3"/>
        <v>2170</v>
      </c>
      <c r="N43" s="234">
        <f t="shared" si="4"/>
        <v>0.4717391304347826</v>
      </c>
      <c r="O43" s="226">
        <f>'[4]2011_ktgv_részletező_tábla'!BD44</f>
        <v>0</v>
      </c>
      <c r="P43" s="158">
        <f>modositott_ei!BF44</f>
        <v>0</v>
      </c>
      <c r="Q43" s="158">
        <f>6m_teljesitesi_adatok!BE44</f>
        <v>0</v>
      </c>
      <c r="R43" s="234"/>
      <c r="S43" s="226">
        <f t="shared" si="5"/>
        <v>4600</v>
      </c>
      <c r="T43" s="226">
        <f t="shared" si="6"/>
        <v>4600</v>
      </c>
      <c r="U43" s="226">
        <f t="shared" si="7"/>
        <v>2170</v>
      </c>
      <c r="V43" s="247">
        <f t="shared" si="8"/>
        <v>0.4717391304347826</v>
      </c>
    </row>
    <row r="44" spans="1:22" s="7" customFormat="1" ht="12.75">
      <c r="A44" s="256"/>
      <c r="B44" s="212" t="s">
        <v>165</v>
      </c>
      <c r="C44" s="233">
        <f>'[4]2011_ktgv_részletező_tábla'!AW45</f>
        <v>4600</v>
      </c>
      <c r="D44" s="233">
        <f>modositott_ei!AX45</f>
        <v>4600</v>
      </c>
      <c r="E44" s="233">
        <f>6m_teljesitesi_adatok!AX45</f>
        <v>2170</v>
      </c>
      <c r="F44" s="237">
        <f t="shared" si="0"/>
        <v>0.4717391304347826</v>
      </c>
      <c r="G44" s="233">
        <f>'[4]2011_ktgv_részletező_tábla'!BB45</f>
        <v>0</v>
      </c>
      <c r="H44" s="233">
        <f>modositott_ei!BC45</f>
        <v>0</v>
      </c>
      <c r="I44" s="233">
        <f>6m_teljesitesi_adatok!BC45</f>
        <v>0</v>
      </c>
      <c r="J44" s="236"/>
      <c r="K44" s="233">
        <f t="shared" si="1"/>
        <v>4600</v>
      </c>
      <c r="L44" s="233">
        <f t="shared" si="2"/>
        <v>4600</v>
      </c>
      <c r="M44" s="233">
        <f t="shared" si="3"/>
        <v>2170</v>
      </c>
      <c r="N44" s="237">
        <f t="shared" si="4"/>
        <v>0.4717391304347826</v>
      </c>
      <c r="O44" s="238">
        <f>'[4]2011_ktgv_részletező_tábla'!BD45</f>
        <v>0</v>
      </c>
      <c r="P44" s="238">
        <f>modositott_ei!BF45</f>
        <v>0</v>
      </c>
      <c r="Q44" s="238">
        <f>6m_teljesitesi_adatok!BE45</f>
        <v>0</v>
      </c>
      <c r="R44" s="238"/>
      <c r="S44" s="233">
        <f t="shared" si="5"/>
        <v>4600</v>
      </c>
      <c r="T44" s="233">
        <f t="shared" si="6"/>
        <v>4600</v>
      </c>
      <c r="U44" s="233">
        <f t="shared" si="7"/>
        <v>2170</v>
      </c>
      <c r="V44" s="249">
        <f t="shared" si="8"/>
        <v>0.4717391304347826</v>
      </c>
    </row>
    <row r="45" spans="1:22" s="7" customFormat="1" ht="12.75">
      <c r="A45" s="257"/>
      <c r="B45" s="212" t="s">
        <v>166</v>
      </c>
      <c r="C45" s="233">
        <f>'[4]2011_ktgv_részletező_tábla'!AW46</f>
        <v>0</v>
      </c>
      <c r="D45" s="233">
        <f>modositott_ei!AX46</f>
        <v>0</v>
      </c>
      <c r="E45" s="233">
        <f>6m_teljesitesi_adatok!AX46</f>
        <v>0</v>
      </c>
      <c r="F45" s="236"/>
      <c r="G45" s="233">
        <f>'[4]2011_ktgv_részletező_tábla'!BB46</f>
        <v>0</v>
      </c>
      <c r="H45" s="233">
        <f>modositott_ei!BC46</f>
        <v>0</v>
      </c>
      <c r="I45" s="233">
        <f>6m_teljesitesi_adatok!BC46</f>
        <v>0</v>
      </c>
      <c r="J45" s="236"/>
      <c r="K45" s="233">
        <f t="shared" si="1"/>
        <v>0</v>
      </c>
      <c r="L45" s="233">
        <f t="shared" si="2"/>
        <v>0</v>
      </c>
      <c r="M45" s="233">
        <f t="shared" si="3"/>
        <v>0</v>
      </c>
      <c r="N45" s="237"/>
      <c r="O45" s="238">
        <f>'[4]2011_ktgv_részletező_tábla'!BD46</f>
        <v>0</v>
      </c>
      <c r="P45" s="238">
        <f>modositott_ei!BF46</f>
        <v>0</v>
      </c>
      <c r="Q45" s="238">
        <f>6m_teljesitesi_adatok!BE46</f>
        <v>0</v>
      </c>
      <c r="R45" s="238"/>
      <c r="S45" s="233">
        <f t="shared" si="5"/>
        <v>0</v>
      </c>
      <c r="T45" s="233">
        <f t="shared" si="6"/>
        <v>0</v>
      </c>
      <c r="U45" s="233">
        <f t="shared" si="7"/>
        <v>0</v>
      </c>
      <c r="V45" s="249"/>
    </row>
    <row r="46" spans="1:22" s="7" customFormat="1" ht="15.75">
      <c r="A46" s="245" t="s">
        <v>81</v>
      </c>
      <c r="B46" s="100"/>
      <c r="C46" s="92">
        <f>'[4]2011_ktgv_részletező_tábla'!AW47</f>
        <v>0</v>
      </c>
      <c r="D46" s="158">
        <f>modositott_ei!AX47</f>
        <v>0</v>
      </c>
      <c r="E46" s="158">
        <f>6m_teljesitesi_adatok!AX47</f>
        <v>0</v>
      </c>
      <c r="F46" s="234"/>
      <c r="G46" s="226">
        <f>'[4]2011_ktgv_részletező_tábla'!BB47</f>
        <v>0</v>
      </c>
      <c r="H46" s="158">
        <f>modositott_ei!BC47</f>
        <v>0</v>
      </c>
      <c r="I46" s="158">
        <f>6m_teljesitesi_adatok!BC47</f>
        <v>0</v>
      </c>
      <c r="J46" s="234"/>
      <c r="K46" s="226">
        <f t="shared" si="1"/>
        <v>0</v>
      </c>
      <c r="L46" s="226">
        <f t="shared" si="2"/>
        <v>0</v>
      </c>
      <c r="M46" s="226">
        <f t="shared" si="3"/>
        <v>0</v>
      </c>
      <c r="N46" s="234"/>
      <c r="O46" s="226">
        <f>'[4]2011_ktgv_részletező_tábla'!BD47</f>
        <v>0</v>
      </c>
      <c r="P46" s="158">
        <f>modositott_ei!BF47</f>
        <v>0</v>
      </c>
      <c r="Q46" s="158">
        <f>6m_teljesitesi_adatok!BE47</f>
        <v>0</v>
      </c>
      <c r="R46" s="234"/>
      <c r="S46" s="226">
        <f t="shared" si="5"/>
        <v>0</v>
      </c>
      <c r="T46" s="226">
        <f t="shared" si="6"/>
        <v>0</v>
      </c>
      <c r="U46" s="226">
        <f t="shared" si="7"/>
        <v>0</v>
      </c>
      <c r="V46" s="247"/>
    </row>
    <row r="47" spans="1:22" s="7" customFormat="1" ht="12.75">
      <c r="A47" s="246">
        <v>12</v>
      </c>
      <c r="B47" s="218" t="s">
        <v>64</v>
      </c>
      <c r="C47" s="92">
        <f>'[4]2011_ktgv_részletező_tábla'!AW48</f>
        <v>20</v>
      </c>
      <c r="D47" s="158">
        <f>modositott_ei!AX48</f>
        <v>20</v>
      </c>
      <c r="E47" s="158">
        <f>6m_teljesitesi_adatok!AX48</f>
        <v>28</v>
      </c>
      <c r="F47" s="234">
        <f t="shared" si="0"/>
        <v>1.4</v>
      </c>
      <c r="G47" s="226">
        <f>'[4]2011_ktgv_részletező_tábla'!BB48</f>
        <v>0</v>
      </c>
      <c r="H47" s="158">
        <f>modositott_ei!BC48</f>
        <v>0</v>
      </c>
      <c r="I47" s="158">
        <f>6m_teljesitesi_adatok!BC48</f>
        <v>0</v>
      </c>
      <c r="J47" s="234"/>
      <c r="K47" s="226">
        <f t="shared" si="1"/>
        <v>20</v>
      </c>
      <c r="L47" s="226">
        <f t="shared" si="2"/>
        <v>20</v>
      </c>
      <c r="M47" s="226">
        <f t="shared" si="3"/>
        <v>28</v>
      </c>
      <c r="N47" s="234">
        <f t="shared" si="4"/>
        <v>1.4</v>
      </c>
      <c r="O47" s="226">
        <f>'[4]2011_ktgv_részletező_tábla'!BD48</f>
        <v>0</v>
      </c>
      <c r="P47" s="158">
        <f>modositott_ei!BF48</f>
        <v>0</v>
      </c>
      <c r="Q47" s="158">
        <f>6m_teljesitesi_adatok!BE48</f>
        <v>0</v>
      </c>
      <c r="R47" s="234"/>
      <c r="S47" s="226">
        <f t="shared" si="5"/>
        <v>20</v>
      </c>
      <c r="T47" s="226">
        <f t="shared" si="6"/>
        <v>20</v>
      </c>
      <c r="U47" s="226">
        <f t="shared" si="7"/>
        <v>28</v>
      </c>
      <c r="V47" s="247">
        <f t="shared" si="8"/>
        <v>1.4</v>
      </c>
    </row>
    <row r="48" spans="1:22" s="7" customFormat="1" ht="12.75">
      <c r="A48" s="255"/>
      <c r="B48" s="212" t="s">
        <v>167</v>
      </c>
      <c r="C48" s="233">
        <f>'[4]2011_ktgv_részletező_tábla'!AW49</f>
        <v>20</v>
      </c>
      <c r="D48" s="233">
        <f>modositott_ei!AX49</f>
        <v>20</v>
      </c>
      <c r="E48" s="233">
        <f>6m_teljesitesi_adatok!AX49</f>
        <v>28</v>
      </c>
      <c r="F48" s="237">
        <f t="shared" si="0"/>
        <v>1.4</v>
      </c>
      <c r="G48" s="233">
        <f>'[4]2011_ktgv_részletező_tábla'!BB49</f>
        <v>0</v>
      </c>
      <c r="H48" s="233">
        <f>modositott_ei!BC49</f>
        <v>0</v>
      </c>
      <c r="I48" s="233">
        <f>6m_teljesitesi_adatok!BC49</f>
        <v>0</v>
      </c>
      <c r="J48" s="236"/>
      <c r="K48" s="233">
        <f t="shared" si="1"/>
        <v>20</v>
      </c>
      <c r="L48" s="233">
        <f t="shared" si="2"/>
        <v>20</v>
      </c>
      <c r="M48" s="233">
        <f t="shared" si="3"/>
        <v>28</v>
      </c>
      <c r="N48" s="237">
        <f t="shared" si="4"/>
        <v>1.4</v>
      </c>
      <c r="O48" s="238">
        <f>'[4]2011_ktgv_részletező_tábla'!BD49</f>
        <v>0</v>
      </c>
      <c r="P48" s="238">
        <f>modositott_ei!BF49</f>
        <v>0</v>
      </c>
      <c r="Q48" s="238">
        <f>6m_teljesitesi_adatok!BE49</f>
        <v>0</v>
      </c>
      <c r="R48" s="238"/>
      <c r="S48" s="233">
        <f t="shared" si="5"/>
        <v>20</v>
      </c>
      <c r="T48" s="233">
        <f t="shared" si="6"/>
        <v>20</v>
      </c>
      <c r="U48" s="233">
        <f t="shared" si="7"/>
        <v>28</v>
      </c>
      <c r="V48" s="249">
        <f t="shared" si="8"/>
        <v>1.4</v>
      </c>
    </row>
    <row r="49" spans="1:22" s="23" customFormat="1" ht="24" customHeight="1" thickBot="1">
      <c r="A49" s="258"/>
      <c r="B49" s="259" t="s">
        <v>60</v>
      </c>
      <c r="C49" s="230">
        <f>'[4]2011_ktgv_részletező_tábla'!AW50</f>
        <v>298256.2345</v>
      </c>
      <c r="D49" s="230">
        <f>modositott_ei!AX50</f>
        <v>328702</v>
      </c>
      <c r="E49" s="230">
        <f>6m_teljesitesi_adatok!AX50</f>
        <v>196275</v>
      </c>
      <c r="F49" s="235">
        <f t="shared" si="0"/>
        <v>0.5971214047982671</v>
      </c>
      <c r="G49" s="230">
        <f>'[4]2011_ktgv_részletező_tábla'!BB50</f>
        <v>10358.54</v>
      </c>
      <c r="H49" s="230">
        <f>modositott_ei!BC50</f>
        <v>10359</v>
      </c>
      <c r="I49" s="230">
        <f>6m_teljesitesi_adatok!BC50</f>
        <v>3587</v>
      </c>
      <c r="J49" s="235">
        <f>I49/H49</f>
        <v>0.3462689448788493</v>
      </c>
      <c r="K49" s="230">
        <f t="shared" si="1"/>
        <v>308614.7745</v>
      </c>
      <c r="L49" s="230">
        <f t="shared" si="2"/>
        <v>339061</v>
      </c>
      <c r="M49" s="230">
        <f t="shared" si="3"/>
        <v>199862</v>
      </c>
      <c r="N49" s="235">
        <f t="shared" si="4"/>
        <v>0.589457354281383</v>
      </c>
      <c r="O49" s="230">
        <f>'[4]2011_ktgv_részletező_tábla'!BD50</f>
        <v>210</v>
      </c>
      <c r="P49" s="230">
        <f>modositott_ei!BF50</f>
        <v>210</v>
      </c>
      <c r="Q49" s="230">
        <f>6m_teljesitesi_adatok!BE50</f>
        <v>209</v>
      </c>
      <c r="R49" s="235">
        <f>Q49/P49</f>
        <v>0.9952380952380953</v>
      </c>
      <c r="S49" s="260">
        <f t="shared" si="5"/>
        <v>308824.7745</v>
      </c>
      <c r="T49" s="260">
        <f t="shared" si="6"/>
        <v>339271</v>
      </c>
      <c r="U49" s="260">
        <f t="shared" si="7"/>
        <v>200071</v>
      </c>
      <c r="V49" s="261">
        <f t="shared" si="8"/>
        <v>0.5897085220959056</v>
      </c>
    </row>
    <row r="50" spans="1:22" s="5" customFormat="1" ht="9" customHeight="1">
      <c r="A50" s="22"/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</row>
    <row r="51" spans="1:23" s="7" customFormat="1" ht="9" customHeight="1">
      <c r="A51" s="32"/>
      <c r="B51" s="30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159"/>
    </row>
    <row r="52" spans="1:23" s="5" customFormat="1" ht="19.5" customHeight="1" thickBot="1">
      <c r="A52" s="46"/>
      <c r="B52" s="242" t="s">
        <v>83</v>
      </c>
      <c r="C52" s="39"/>
      <c r="D52" s="39"/>
      <c r="E52" s="39"/>
      <c r="F52" s="39"/>
      <c r="G52" s="39"/>
      <c r="H52" s="39"/>
      <c r="I52" s="39"/>
      <c r="J52" s="39"/>
      <c r="K52" s="285"/>
      <c r="L52" s="285"/>
      <c r="M52" s="285"/>
      <c r="N52" s="285"/>
      <c r="O52" s="39"/>
      <c r="P52" s="39"/>
      <c r="Q52" s="39"/>
      <c r="R52" s="39"/>
      <c r="S52" s="39"/>
      <c r="T52" s="39"/>
      <c r="U52" s="39"/>
      <c r="V52" s="39"/>
      <c r="W52" s="159"/>
    </row>
    <row r="53" spans="1:23" s="12" customFormat="1" ht="16.5" customHeight="1" thickBot="1">
      <c r="A53" s="54"/>
      <c r="B53" s="262" t="s">
        <v>84</v>
      </c>
      <c r="C53" s="263">
        <f>'[4]2011_ktgv_részletező_tábla'!AW74</f>
        <v>87454</v>
      </c>
      <c r="D53" s="263">
        <f>modositott_ei!AX74</f>
        <v>98375</v>
      </c>
      <c r="E53" s="263">
        <f>6m_teljesitesi_adatok!AX74</f>
        <v>98376</v>
      </c>
      <c r="F53" s="264">
        <f>E53/D53</f>
        <v>1.000010165184244</v>
      </c>
      <c r="G53" s="263">
        <f>SUM(G54:G55)</f>
        <v>0</v>
      </c>
      <c r="H53" s="263">
        <f>SUM(H54:H55)</f>
        <v>0</v>
      </c>
      <c r="I53" s="263">
        <f>SUM(I54:I55)</f>
        <v>0</v>
      </c>
      <c r="J53" s="264"/>
      <c r="K53" s="229">
        <f aca="true" t="shared" si="9" ref="K53:M55">C53+G53</f>
        <v>87454</v>
      </c>
      <c r="L53" s="229">
        <f t="shared" si="9"/>
        <v>98375</v>
      </c>
      <c r="M53" s="229">
        <f t="shared" si="9"/>
        <v>98376</v>
      </c>
      <c r="N53" s="240">
        <f>M53/L53</f>
        <v>1.000010165184244</v>
      </c>
      <c r="O53" s="263">
        <f>'[4]2011_ktgv_részletező_tábla'!BE74</f>
        <v>89</v>
      </c>
      <c r="P53" s="263">
        <f>modositott_ei!BE74</f>
        <v>89</v>
      </c>
      <c r="Q53" s="263">
        <f>6m_teljesitesi_adatok!BF74</f>
        <v>89</v>
      </c>
      <c r="R53" s="287">
        <f>Q53/P53</f>
        <v>1</v>
      </c>
      <c r="S53" s="260">
        <f aca="true" t="shared" si="10" ref="S53:U55">K53+O53</f>
        <v>87543</v>
      </c>
      <c r="T53" s="260">
        <f t="shared" si="10"/>
        <v>98464</v>
      </c>
      <c r="U53" s="260">
        <f t="shared" si="10"/>
        <v>98465</v>
      </c>
      <c r="V53" s="247">
        <f>U53/T53</f>
        <v>1.0000101559961</v>
      </c>
      <c r="W53" s="160"/>
    </row>
    <row r="54" spans="1:23" s="12" customFormat="1" ht="15.75" thickBot="1">
      <c r="A54" s="55"/>
      <c r="B54" s="265" t="s">
        <v>62</v>
      </c>
      <c r="C54" s="233">
        <f>'[4]2011_ktgv_részletező_tábla'!AW75</f>
        <v>55797</v>
      </c>
      <c r="D54" s="233">
        <f>modositott_ei!AX75</f>
        <v>66718</v>
      </c>
      <c r="E54" s="233">
        <f>6m_teljesitesi_adatok!AX75</f>
        <v>66719</v>
      </c>
      <c r="F54" s="237">
        <f>E54/D54</f>
        <v>1.0000149884588867</v>
      </c>
      <c r="G54" s="13"/>
      <c r="H54" s="13"/>
      <c r="I54" s="13"/>
      <c r="J54" s="237"/>
      <c r="K54" s="233">
        <f t="shared" si="9"/>
        <v>55797</v>
      </c>
      <c r="L54" s="233">
        <f t="shared" si="9"/>
        <v>66718</v>
      </c>
      <c r="M54" s="233">
        <f t="shared" si="9"/>
        <v>66719</v>
      </c>
      <c r="N54" s="237">
        <f>M54/L54</f>
        <v>1.0000149884588867</v>
      </c>
      <c r="O54" s="286">
        <f>'[4]2011_ktgv_részletező_tábla'!BE75</f>
        <v>89</v>
      </c>
      <c r="P54" s="286">
        <f>modositott_ei!BE75</f>
        <v>89</v>
      </c>
      <c r="Q54" s="286">
        <f>6m_teljesitesi_adatok!BF75</f>
        <v>89</v>
      </c>
      <c r="R54" s="288">
        <f>Q54/P54</f>
        <v>1</v>
      </c>
      <c r="S54" s="233">
        <f t="shared" si="10"/>
        <v>55886</v>
      </c>
      <c r="T54" s="233">
        <f t="shared" si="10"/>
        <v>66807</v>
      </c>
      <c r="U54" s="233">
        <f t="shared" si="10"/>
        <v>66808</v>
      </c>
      <c r="V54" s="249">
        <f>U54/T54</f>
        <v>1.0000149684913258</v>
      </c>
      <c r="W54" s="161"/>
    </row>
    <row r="55" spans="2:23" s="10" customFormat="1" ht="11.25" customHeight="1" thickBot="1">
      <c r="B55" s="266" t="s">
        <v>61</v>
      </c>
      <c r="C55" s="267">
        <f>'[4]2011_ktgv_részletező_tábla'!AW76</f>
        <v>31657</v>
      </c>
      <c r="D55" s="267">
        <f>modositott_ei!AX76</f>
        <v>31657</v>
      </c>
      <c r="E55" s="267">
        <f>6m_teljesitesi_adatok!AX76</f>
        <v>31657</v>
      </c>
      <c r="F55" s="268">
        <f>E55/D55</f>
        <v>1</v>
      </c>
      <c r="G55" s="269"/>
      <c r="H55" s="269"/>
      <c r="I55" s="269"/>
      <c r="J55" s="268"/>
      <c r="K55" s="283">
        <f t="shared" si="9"/>
        <v>31657</v>
      </c>
      <c r="L55" s="283">
        <f t="shared" si="9"/>
        <v>31657</v>
      </c>
      <c r="M55" s="283">
        <f t="shared" si="9"/>
        <v>31657</v>
      </c>
      <c r="N55" s="268">
        <f>M55/L55</f>
        <v>1</v>
      </c>
      <c r="O55" s="286">
        <f>'[4]2011_ktgv_részletező_tábla'!BE76</f>
        <v>0</v>
      </c>
      <c r="P55" s="269"/>
      <c r="Q55" s="269"/>
      <c r="R55" s="269"/>
      <c r="S55" s="233">
        <f t="shared" si="10"/>
        <v>31657</v>
      </c>
      <c r="T55" s="233">
        <f t="shared" si="10"/>
        <v>31657</v>
      </c>
      <c r="U55" s="233">
        <f t="shared" si="10"/>
        <v>31657</v>
      </c>
      <c r="V55" s="249">
        <f>U55/T55</f>
        <v>1</v>
      </c>
      <c r="W55" s="160"/>
    </row>
    <row r="56" spans="2:22" s="10" customFormat="1" ht="1.5" customHeight="1">
      <c r="B56" s="41"/>
      <c r="C56" s="241">
        <f>'[4]2011_ktgv_részletező_tábla'!AW77</f>
        <v>0</v>
      </c>
      <c r="D56" s="241">
        <f>modositott_ei!AX77</f>
        <v>0</v>
      </c>
      <c r="E56" s="241">
        <f>6m_teljesitesi_adatok!AX77</f>
        <v>0</v>
      </c>
      <c r="F56" s="241">
        <f>'7m_%teljesitesi_adatok'!AX77</f>
        <v>0</v>
      </c>
      <c r="G56" s="42"/>
      <c r="H56" s="42"/>
      <c r="I56" s="42"/>
      <c r="J56" s="241"/>
      <c r="K56" s="282"/>
      <c r="L56" s="282"/>
      <c r="M56" s="282"/>
      <c r="N56" s="42"/>
      <c r="O56" s="42"/>
      <c r="P56" s="42"/>
      <c r="Q56" s="42"/>
      <c r="R56" s="42"/>
      <c r="S56" s="42"/>
      <c r="T56" s="42"/>
      <c r="U56" s="42"/>
      <c r="V56" s="42"/>
    </row>
    <row r="57" spans="1:22" s="5" customFormat="1" ht="19.5" customHeight="1" thickBot="1">
      <c r="A57" s="46"/>
      <c r="B57" s="242" t="s">
        <v>85</v>
      </c>
      <c r="C57" s="241">
        <f>'[4]2011_ktgv_részletező_tábla'!AW78</f>
        <v>0</v>
      </c>
      <c r="D57" s="241">
        <f>modositott_ei!AX78</f>
        <v>0</v>
      </c>
      <c r="E57" s="241">
        <f>6m_teljesitesi_adatok!AX78</f>
        <v>0</v>
      </c>
      <c r="F57" s="241">
        <f>'7m_%teljesitesi_adatok'!AX78</f>
        <v>0</v>
      </c>
      <c r="G57" s="39"/>
      <c r="H57" s="39"/>
      <c r="I57" s="39"/>
      <c r="J57" s="241"/>
      <c r="K57" s="284"/>
      <c r="L57" s="284"/>
      <c r="M57" s="284"/>
      <c r="N57" s="285"/>
      <c r="O57" s="39"/>
      <c r="P57" s="39"/>
      <c r="Q57" s="39"/>
      <c r="R57" s="39"/>
      <c r="S57" s="39"/>
      <c r="T57" s="39"/>
      <c r="U57" s="39"/>
      <c r="V57" s="39"/>
    </row>
    <row r="58" spans="1:22" s="12" customFormat="1" ht="30" customHeight="1" thickBot="1">
      <c r="A58" s="54"/>
      <c r="B58" s="271" t="s">
        <v>145</v>
      </c>
      <c r="C58" s="263">
        <f>'[4]2011_ktgv_részletező_tábla'!AW79</f>
        <v>42743</v>
      </c>
      <c r="D58" s="263">
        <f>modositott_ei!AX79</f>
        <v>42743</v>
      </c>
      <c r="E58" s="263">
        <f>6m_teljesitesi_adatok!AX79</f>
        <v>28743</v>
      </c>
      <c r="F58" s="264">
        <f>E58/D58</f>
        <v>0.6724609877640784</v>
      </c>
      <c r="G58" s="272">
        <f>SUM(G59:G61)</f>
        <v>0</v>
      </c>
      <c r="H58" s="272">
        <f>SUM(H59:H61)</f>
        <v>0</v>
      </c>
      <c r="I58" s="272">
        <f>SUM(I59:I61)</f>
        <v>0</v>
      </c>
      <c r="J58" s="264"/>
      <c r="K58" s="229">
        <f aca="true" t="shared" si="11" ref="K58:M61">C58+G58</f>
        <v>42743</v>
      </c>
      <c r="L58" s="229">
        <f t="shared" si="11"/>
        <v>42743</v>
      </c>
      <c r="M58" s="229">
        <f t="shared" si="11"/>
        <v>28743</v>
      </c>
      <c r="N58" s="240">
        <f>M58/L58</f>
        <v>0.6724609877640784</v>
      </c>
      <c r="O58" s="272">
        <f>SUM(O59:O61)</f>
        <v>0</v>
      </c>
      <c r="P58" s="272">
        <f>SUM(P59:P61)</f>
        <v>0</v>
      </c>
      <c r="Q58" s="272">
        <f>SUM(Q59:Q61)</f>
        <v>0</v>
      </c>
      <c r="R58" s="272">
        <f>SUM(R59:R61)</f>
        <v>0</v>
      </c>
      <c r="S58" s="260">
        <f aca="true" t="shared" si="12" ref="S58:U61">K58+O58</f>
        <v>42743</v>
      </c>
      <c r="T58" s="260">
        <f t="shared" si="12"/>
        <v>42743</v>
      </c>
      <c r="U58" s="260">
        <f t="shared" si="12"/>
        <v>28743</v>
      </c>
      <c r="V58" s="247">
        <f>U58/T58</f>
        <v>0.6724609877640784</v>
      </c>
    </row>
    <row r="59" spans="1:22" s="7" customFormat="1" ht="12.75">
      <c r="A59" s="32"/>
      <c r="B59" s="274" t="s">
        <v>67</v>
      </c>
      <c r="C59" s="233">
        <f>'[4]2011_ktgv_részletező_tábla'!AW80</f>
        <v>0</v>
      </c>
      <c r="D59" s="233">
        <f>modositott_ei!AX80</f>
        <v>0</v>
      </c>
      <c r="E59" s="233">
        <f>6m_teljesitesi_adatok!AX80</f>
        <v>0</v>
      </c>
      <c r="F59" s="237"/>
      <c r="G59" s="13"/>
      <c r="H59" s="13"/>
      <c r="I59" s="13"/>
      <c r="J59" s="237"/>
      <c r="K59" s="233">
        <f t="shared" si="11"/>
        <v>0</v>
      </c>
      <c r="L59" s="233">
        <f t="shared" si="11"/>
        <v>0</v>
      </c>
      <c r="M59" s="233">
        <f t="shared" si="11"/>
        <v>0</v>
      </c>
      <c r="N59" s="237"/>
      <c r="O59" s="13"/>
      <c r="P59" s="13"/>
      <c r="Q59" s="13"/>
      <c r="R59" s="13"/>
      <c r="S59" s="233">
        <f t="shared" si="12"/>
        <v>0</v>
      </c>
      <c r="T59" s="233">
        <f t="shared" si="12"/>
        <v>0</v>
      </c>
      <c r="U59" s="233">
        <f t="shared" si="12"/>
        <v>0</v>
      </c>
      <c r="V59" s="249"/>
    </row>
    <row r="60" spans="1:22" s="7" customFormat="1" ht="12.75">
      <c r="A60" s="32"/>
      <c r="B60" s="274" t="s">
        <v>66</v>
      </c>
      <c r="C60" s="233">
        <f>'[4]2011_ktgv_részletező_tábla'!AW81</f>
        <v>14000</v>
      </c>
      <c r="D60" s="233">
        <f>modositott_ei!AX81</f>
        <v>14000</v>
      </c>
      <c r="E60" s="233">
        <f>6m_teljesitesi_adatok!AX81</f>
        <v>0</v>
      </c>
      <c r="F60" s="237">
        <f>E60/D60</f>
        <v>0</v>
      </c>
      <c r="G60" s="13"/>
      <c r="H60" s="13"/>
      <c r="I60" s="13"/>
      <c r="J60" s="237"/>
      <c r="K60" s="233">
        <f t="shared" si="11"/>
        <v>14000</v>
      </c>
      <c r="L60" s="233">
        <f t="shared" si="11"/>
        <v>14000</v>
      </c>
      <c r="M60" s="233">
        <f t="shared" si="11"/>
        <v>0</v>
      </c>
      <c r="N60" s="237">
        <f>M60/L60</f>
        <v>0</v>
      </c>
      <c r="O60" s="13"/>
      <c r="P60" s="13"/>
      <c r="Q60" s="13"/>
      <c r="R60" s="13"/>
      <c r="S60" s="233">
        <f t="shared" si="12"/>
        <v>14000</v>
      </c>
      <c r="T60" s="233">
        <f t="shared" si="12"/>
        <v>14000</v>
      </c>
      <c r="U60" s="233">
        <f t="shared" si="12"/>
        <v>0</v>
      </c>
      <c r="V60" s="249">
        <f>U60/T60</f>
        <v>0</v>
      </c>
    </row>
    <row r="61" spans="1:22" s="7" customFormat="1" ht="12.75">
      <c r="A61" s="32"/>
      <c r="B61" s="275" t="s">
        <v>65</v>
      </c>
      <c r="C61" s="233">
        <f>'[4]2011_ktgv_részletező_tábla'!AW82</f>
        <v>28743</v>
      </c>
      <c r="D61" s="233">
        <f>modositott_ei!AX82</f>
        <v>28743</v>
      </c>
      <c r="E61" s="233">
        <f>6m_teljesitesi_adatok!AX82</f>
        <v>28743</v>
      </c>
      <c r="F61" s="237">
        <f>E61/D61</f>
        <v>1</v>
      </c>
      <c r="G61" s="13"/>
      <c r="H61" s="13"/>
      <c r="I61" s="13"/>
      <c r="J61" s="237"/>
      <c r="K61" s="233">
        <f t="shared" si="11"/>
        <v>28743</v>
      </c>
      <c r="L61" s="233">
        <f t="shared" si="11"/>
        <v>28743</v>
      </c>
      <c r="M61" s="233">
        <f t="shared" si="11"/>
        <v>28743</v>
      </c>
      <c r="N61" s="237">
        <f>M61/L61</f>
        <v>1</v>
      </c>
      <c r="O61" s="13"/>
      <c r="P61" s="13"/>
      <c r="Q61" s="13"/>
      <c r="R61" s="13"/>
      <c r="S61" s="233">
        <f t="shared" si="12"/>
        <v>28743</v>
      </c>
      <c r="T61" s="233">
        <f t="shared" si="12"/>
        <v>28743</v>
      </c>
      <c r="U61" s="233">
        <f t="shared" si="12"/>
        <v>28743</v>
      </c>
      <c r="V61" s="249">
        <f>U61/T61</f>
        <v>1</v>
      </c>
    </row>
    <row r="62" spans="1:22" s="5" customFormat="1" ht="52.5" customHeight="1" thickBot="1">
      <c r="A62" s="56"/>
      <c r="B62" s="276" t="s">
        <v>86</v>
      </c>
      <c r="C62" s="277">
        <f>C58+C53+C49</f>
        <v>428453.2345</v>
      </c>
      <c r="D62" s="277">
        <f>D58+D53+D49</f>
        <v>469820</v>
      </c>
      <c r="E62" s="277">
        <f>E58+E53+E49</f>
        <v>323394</v>
      </c>
      <c r="F62" s="281">
        <f>E62/D62</f>
        <v>0.6883359584521732</v>
      </c>
      <c r="G62" s="277">
        <f>G58+G53+G49</f>
        <v>10358.54</v>
      </c>
      <c r="H62" s="277">
        <f>H58+H53+H49</f>
        <v>10359</v>
      </c>
      <c r="I62" s="277">
        <f>I58+I53+I49</f>
        <v>3587</v>
      </c>
      <c r="J62" s="278">
        <f>I62/H62</f>
        <v>0.3462689448788493</v>
      </c>
      <c r="K62" s="277">
        <f>K58+K53+K49</f>
        <v>438811.7745</v>
      </c>
      <c r="L62" s="277">
        <f>L58+L53+L49</f>
        <v>480179</v>
      </c>
      <c r="M62" s="277">
        <f>M58+M53+M49</f>
        <v>326981</v>
      </c>
      <c r="N62" s="278">
        <f>M62/L62</f>
        <v>0.6809564766472503</v>
      </c>
      <c r="O62" s="277">
        <f>O58+O53+O49</f>
        <v>299</v>
      </c>
      <c r="P62" s="277">
        <f>P58+P53+P49</f>
        <v>299</v>
      </c>
      <c r="Q62" s="277">
        <f>Q58+Q53+Q49</f>
        <v>298</v>
      </c>
      <c r="R62" s="278">
        <f>Q62/P62</f>
        <v>0.9966555183946488</v>
      </c>
      <c r="S62" s="277">
        <f>S58+S53+S49</f>
        <v>439110.7745</v>
      </c>
      <c r="T62" s="277">
        <f>T58+T53+T49</f>
        <v>480478</v>
      </c>
      <c r="U62" s="277">
        <f>U58+U53+U49</f>
        <v>327279</v>
      </c>
      <c r="V62" s="279">
        <f>U62/T62</f>
        <v>0.681152935202028</v>
      </c>
    </row>
    <row r="63" spans="1:22" s="5" customFormat="1" ht="27" customHeight="1">
      <c r="A63" s="46"/>
      <c r="B63" s="47"/>
      <c r="C63" s="39"/>
      <c r="D63" s="39"/>
      <c r="E63" s="39"/>
      <c r="F63" s="280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</sheetData>
  <sheetProtection selectLockedCells="1"/>
  <mergeCells count="2">
    <mergeCell ref="A3:B3"/>
    <mergeCell ref="A1:V1"/>
  </mergeCells>
  <printOptions horizontalCentered="1" verticalCentered="1"/>
  <pageMargins left="0.3937007874015748" right="0.3937007874015748" top="0" bottom="0.15748031496062992" header="0.5118110236220472" footer="0.15748031496062992"/>
  <pageSetup horizontalDpi="600" verticalDpi="600" orientation="landscape" paperSize="8" scale="65" r:id="rId2"/>
  <headerFooter alignWithMargins="0">
    <oddHeader>&amp;R1. sz. melléklet
</oddHeader>
    <oddFooter>&amp;C&amp;P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</sheetPr>
  <dimension ref="A1:BI113"/>
  <sheetViews>
    <sheetView showZeros="0" view="pageBreakPreview" zoomScale="85" zoomScaleSheetLayoutView="85" zoomScalePageLayoutView="0" workbookViewId="0" topLeftCell="A1">
      <pane xSplit="2" ySplit="4" topLeftCell="AY5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E63" sqref="BE63"/>
    </sheetView>
  </sheetViews>
  <sheetFormatPr defaultColWidth="9.140625" defaultRowHeight="15"/>
  <cols>
    <col min="1" max="1" width="5.7109375" style="2" customWidth="1"/>
    <col min="2" max="2" width="60.28125" style="2" customWidth="1"/>
    <col min="3" max="5" width="11.7109375" style="2" customWidth="1"/>
    <col min="6" max="49" width="11.7109375" style="4" customWidth="1"/>
    <col min="50" max="50" width="13.140625" style="3" customWidth="1"/>
    <col min="51" max="51" width="11.7109375" style="4" customWidth="1"/>
    <col min="52" max="52" width="11.7109375" style="2" customWidth="1"/>
    <col min="53" max="54" width="11.7109375" style="4" customWidth="1"/>
    <col min="55" max="56" width="13.140625" style="3" customWidth="1"/>
    <col min="57" max="57" width="11.7109375" style="4" customWidth="1"/>
    <col min="58" max="58" width="13.140625" style="3" customWidth="1"/>
    <col min="59" max="59" width="13.140625" style="2" customWidth="1"/>
    <col min="60" max="60" width="9.140625" style="1" customWidth="1"/>
    <col min="61" max="61" width="10.28125" style="1" bestFit="1" customWidth="1"/>
    <col min="62" max="16384" width="9.140625" style="1" customWidth="1"/>
  </cols>
  <sheetData>
    <row r="1" spans="1:59" s="25" customFormat="1" ht="16.5" customHeight="1">
      <c r="A1" s="629" t="s">
        <v>76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6"/>
      <c r="AY1" s="26"/>
      <c r="AZ1" s="27"/>
      <c r="BA1" s="28"/>
      <c r="BB1" s="28"/>
      <c r="BC1" s="129"/>
      <c r="BD1" s="129"/>
      <c r="BE1" s="27"/>
      <c r="BF1" s="129"/>
      <c r="BG1" s="130"/>
    </row>
    <row r="2" spans="1:59" s="17" customFormat="1" ht="37.5" customHeight="1">
      <c r="A2" s="620" t="s">
        <v>59</v>
      </c>
      <c r="B2" s="620"/>
      <c r="C2" s="630" t="s">
        <v>142</v>
      </c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2" t="s">
        <v>141</v>
      </c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3"/>
      <c r="AX2" s="625" t="s">
        <v>138</v>
      </c>
      <c r="AY2" s="634" t="s">
        <v>140</v>
      </c>
      <c r="AZ2" s="635"/>
      <c r="BA2" s="635"/>
      <c r="BB2" s="636"/>
      <c r="BC2" s="617" t="s">
        <v>139</v>
      </c>
      <c r="BD2" s="612" t="s">
        <v>198</v>
      </c>
      <c r="BE2" s="146" t="s">
        <v>199</v>
      </c>
      <c r="BF2" s="612" t="s">
        <v>200</v>
      </c>
      <c r="BG2" s="614" t="s">
        <v>201</v>
      </c>
    </row>
    <row r="3" spans="1:59" s="14" customFormat="1" ht="48" customHeight="1">
      <c r="A3" s="620"/>
      <c r="B3" s="620"/>
      <c r="C3" s="94">
        <v>382101</v>
      </c>
      <c r="D3" s="94">
        <v>421100</v>
      </c>
      <c r="E3" s="94">
        <v>552110</v>
      </c>
      <c r="F3" s="94">
        <v>562917</v>
      </c>
      <c r="G3" s="94">
        <f>'[1]2011_2a_mell'!G3</f>
        <v>581400</v>
      </c>
      <c r="H3" s="94">
        <v>682001</v>
      </c>
      <c r="I3" s="94">
        <v>682002</v>
      </c>
      <c r="J3" s="94">
        <v>750000</v>
      </c>
      <c r="K3" s="94">
        <v>841112</v>
      </c>
      <c r="L3" s="94">
        <v>841116</v>
      </c>
      <c r="M3" s="94">
        <v>841126</v>
      </c>
      <c r="N3" s="94">
        <v>841133</v>
      </c>
      <c r="O3" s="94">
        <v>841191</v>
      </c>
      <c r="P3" s="94">
        <v>841402</v>
      </c>
      <c r="Q3" s="94">
        <v>841403</v>
      </c>
      <c r="R3" s="94">
        <v>841901</v>
      </c>
      <c r="S3" s="94">
        <v>841906</v>
      </c>
      <c r="T3" s="94">
        <v>841908</v>
      </c>
      <c r="U3" s="94">
        <v>854234</v>
      </c>
      <c r="V3" s="94">
        <v>869041</v>
      </c>
      <c r="W3" s="94">
        <v>882111</v>
      </c>
      <c r="X3" s="94">
        <v>882112</v>
      </c>
      <c r="Y3" s="94">
        <v>882113</v>
      </c>
      <c r="Z3" s="94">
        <v>882114</v>
      </c>
      <c r="AA3" s="94">
        <v>882115</v>
      </c>
      <c r="AB3" s="94">
        <v>882116</v>
      </c>
      <c r="AC3" s="94">
        <v>882117</v>
      </c>
      <c r="AD3" s="94">
        <v>882118</v>
      </c>
      <c r="AE3" s="94">
        <v>882119</v>
      </c>
      <c r="AF3" s="94">
        <v>882121</v>
      </c>
      <c r="AG3" s="94">
        <v>882122</v>
      </c>
      <c r="AH3" s="94">
        <v>882123</v>
      </c>
      <c r="AI3" s="94">
        <v>882124</v>
      </c>
      <c r="AJ3" s="94">
        <v>882125</v>
      </c>
      <c r="AK3" s="94">
        <v>882129</v>
      </c>
      <c r="AL3" s="94">
        <v>882202</v>
      </c>
      <c r="AM3" s="94">
        <v>882203</v>
      </c>
      <c r="AN3" s="94">
        <v>889921</v>
      </c>
      <c r="AO3" s="94">
        <v>889928</v>
      </c>
      <c r="AP3" s="94">
        <v>889969</v>
      </c>
      <c r="AQ3" s="94">
        <v>890301</v>
      </c>
      <c r="AR3" s="94">
        <v>890441</v>
      </c>
      <c r="AS3" s="94">
        <v>890442</v>
      </c>
      <c r="AT3" s="94">
        <v>890443</v>
      </c>
      <c r="AU3" s="94">
        <v>910123</v>
      </c>
      <c r="AV3" s="94">
        <v>910502</v>
      </c>
      <c r="AW3" s="94">
        <v>960302</v>
      </c>
      <c r="AX3" s="618"/>
      <c r="AY3" s="95">
        <v>562912</v>
      </c>
      <c r="AZ3" s="95">
        <v>851000</v>
      </c>
      <c r="BA3" s="95">
        <v>851011</v>
      </c>
      <c r="BB3" s="95">
        <v>851012</v>
      </c>
      <c r="BC3" s="618"/>
      <c r="BD3" s="613"/>
      <c r="BE3" s="16">
        <v>841127</v>
      </c>
      <c r="BF3" s="613"/>
      <c r="BG3" s="615"/>
    </row>
    <row r="4" spans="1:59" s="14" customFormat="1" ht="47.25" customHeight="1">
      <c r="A4" s="620"/>
      <c r="B4" s="621"/>
      <c r="C4" s="96" t="s">
        <v>52</v>
      </c>
      <c r="D4" s="96" t="s">
        <v>51</v>
      </c>
      <c r="E4" s="96" t="s">
        <v>50</v>
      </c>
      <c r="F4" s="96" t="s">
        <v>49</v>
      </c>
      <c r="G4" s="96" t="str">
        <f>'[1]2011_2a_mell'!G4</f>
        <v>Folyóirat, időszaki kiadvány kiadása</v>
      </c>
      <c r="H4" s="96" t="s">
        <v>48</v>
      </c>
      <c r="I4" s="96" t="s">
        <v>47</v>
      </c>
      <c r="J4" s="96" t="s">
        <v>46</v>
      </c>
      <c r="K4" s="96" t="s">
        <v>45</v>
      </c>
      <c r="L4" s="96" t="s">
        <v>44</v>
      </c>
      <c r="M4" s="96" t="s">
        <v>43</v>
      </c>
      <c r="N4" s="96" t="s">
        <v>42</v>
      </c>
      <c r="O4" s="96" t="s">
        <v>41</v>
      </c>
      <c r="P4" s="96" t="s">
        <v>40</v>
      </c>
      <c r="Q4" s="96" t="s">
        <v>39</v>
      </c>
      <c r="R4" s="96" t="s">
        <v>38</v>
      </c>
      <c r="S4" s="96" t="s">
        <v>37</v>
      </c>
      <c r="T4" s="96" t="s">
        <v>36</v>
      </c>
      <c r="U4" s="96" t="s">
        <v>35</v>
      </c>
      <c r="V4" s="96" t="s">
        <v>34</v>
      </c>
      <c r="W4" s="96" t="s">
        <v>33</v>
      </c>
      <c r="X4" s="96" t="s">
        <v>32</v>
      </c>
      <c r="Y4" s="96" t="s">
        <v>31</v>
      </c>
      <c r="Z4" s="97" t="s">
        <v>30</v>
      </c>
      <c r="AA4" s="97" t="s">
        <v>29</v>
      </c>
      <c r="AB4" s="97" t="s">
        <v>28</v>
      </c>
      <c r="AC4" s="97" t="s">
        <v>27</v>
      </c>
      <c r="AD4" s="97" t="s">
        <v>26</v>
      </c>
      <c r="AE4" s="97" t="s">
        <v>25</v>
      </c>
      <c r="AF4" s="97" t="s">
        <v>24</v>
      </c>
      <c r="AG4" s="97" t="s">
        <v>23</v>
      </c>
      <c r="AH4" s="97" t="s">
        <v>22</v>
      </c>
      <c r="AI4" s="97" t="s">
        <v>21</v>
      </c>
      <c r="AJ4" s="97" t="s">
        <v>20</v>
      </c>
      <c r="AK4" s="97" t="s">
        <v>19</v>
      </c>
      <c r="AL4" s="97" t="s">
        <v>75</v>
      </c>
      <c r="AM4" s="97" t="s">
        <v>17</v>
      </c>
      <c r="AN4" s="97" t="s">
        <v>16</v>
      </c>
      <c r="AO4" s="97" t="s">
        <v>15</v>
      </c>
      <c r="AP4" s="97" t="s">
        <v>14</v>
      </c>
      <c r="AQ4" s="97" t="s">
        <v>13</v>
      </c>
      <c r="AR4" s="97" t="s">
        <v>208</v>
      </c>
      <c r="AS4" s="97" t="s">
        <v>209</v>
      </c>
      <c r="AT4" s="97" t="s">
        <v>210</v>
      </c>
      <c r="AU4" s="97" t="s">
        <v>12</v>
      </c>
      <c r="AV4" s="97" t="s">
        <v>11</v>
      </c>
      <c r="AW4" s="97" t="s">
        <v>10</v>
      </c>
      <c r="AX4" s="619"/>
      <c r="AY4" s="96" t="s">
        <v>9</v>
      </c>
      <c r="AZ4" s="98" t="s">
        <v>8</v>
      </c>
      <c r="BA4" s="96" t="s">
        <v>7</v>
      </c>
      <c r="BB4" s="96" t="s">
        <v>6</v>
      </c>
      <c r="BC4" s="619"/>
      <c r="BD4" s="613"/>
      <c r="BE4" s="15" t="s">
        <v>5</v>
      </c>
      <c r="BF4" s="613"/>
      <c r="BG4" s="615"/>
    </row>
    <row r="5" spans="1:59" s="7" customFormat="1" ht="15.75">
      <c r="A5" s="99" t="s">
        <v>77</v>
      </c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2"/>
      <c r="AY5" s="101"/>
      <c r="AZ5" s="101"/>
      <c r="BA5" s="101"/>
      <c r="BB5" s="101"/>
      <c r="BC5" s="102"/>
      <c r="BD5" s="147"/>
      <c r="BE5" s="148"/>
      <c r="BF5" s="147"/>
      <c r="BG5" s="149"/>
    </row>
    <row r="6" spans="1:60" s="7" customFormat="1" ht="12.75">
      <c r="A6" s="103">
        <v>1</v>
      </c>
      <c r="B6" s="104" t="s">
        <v>74</v>
      </c>
      <c r="C6" s="92">
        <f>SUM(C7:C12)</f>
        <v>6286</v>
      </c>
      <c r="D6" s="92">
        <f aca="true" t="shared" si="0" ref="D6:BC6">SUM(D7:D12)</f>
        <v>0</v>
      </c>
      <c r="E6" s="92">
        <f t="shared" si="0"/>
        <v>0</v>
      </c>
      <c r="F6" s="92">
        <f t="shared" si="0"/>
        <v>14207</v>
      </c>
      <c r="G6" s="92"/>
      <c r="H6" s="92">
        <f t="shared" si="0"/>
        <v>0</v>
      </c>
      <c r="I6" s="92">
        <f t="shared" si="0"/>
        <v>240</v>
      </c>
      <c r="J6" s="92">
        <f t="shared" si="0"/>
        <v>0</v>
      </c>
      <c r="K6" s="92">
        <f t="shared" si="0"/>
        <v>308</v>
      </c>
      <c r="L6" s="92">
        <f t="shared" si="0"/>
        <v>0</v>
      </c>
      <c r="M6" s="92">
        <f t="shared" si="0"/>
        <v>9259</v>
      </c>
      <c r="N6" s="92">
        <f t="shared" si="0"/>
        <v>0</v>
      </c>
      <c r="O6" s="92">
        <f t="shared" si="0"/>
        <v>0</v>
      </c>
      <c r="P6" s="92">
        <f t="shared" si="0"/>
        <v>0</v>
      </c>
      <c r="Q6" s="92">
        <f t="shared" si="0"/>
        <v>0</v>
      </c>
      <c r="R6" s="92">
        <f t="shared" si="0"/>
        <v>0</v>
      </c>
      <c r="S6" s="92">
        <f t="shared" si="0"/>
        <v>0</v>
      </c>
      <c r="T6" s="92">
        <f t="shared" si="0"/>
        <v>0</v>
      </c>
      <c r="U6" s="92">
        <f t="shared" si="0"/>
        <v>0</v>
      </c>
      <c r="V6" s="92">
        <f t="shared" si="0"/>
        <v>720</v>
      </c>
      <c r="W6" s="92">
        <f t="shared" si="0"/>
        <v>0</v>
      </c>
      <c r="X6" s="92">
        <f t="shared" si="0"/>
        <v>0</v>
      </c>
      <c r="Y6" s="92">
        <f t="shared" si="0"/>
        <v>0</v>
      </c>
      <c r="Z6" s="92">
        <f t="shared" si="0"/>
        <v>0</v>
      </c>
      <c r="AA6" s="92">
        <f t="shared" si="0"/>
        <v>0</v>
      </c>
      <c r="AB6" s="92">
        <f t="shared" si="0"/>
        <v>0</v>
      </c>
      <c r="AC6" s="92">
        <f t="shared" si="0"/>
        <v>0</v>
      </c>
      <c r="AD6" s="92">
        <f t="shared" si="0"/>
        <v>0</v>
      </c>
      <c r="AE6" s="92">
        <f t="shared" si="0"/>
        <v>0</v>
      </c>
      <c r="AF6" s="92">
        <f t="shared" si="0"/>
        <v>0</v>
      </c>
      <c r="AG6" s="92">
        <f t="shared" si="0"/>
        <v>0</v>
      </c>
      <c r="AH6" s="92">
        <f t="shared" si="0"/>
        <v>0</v>
      </c>
      <c r="AI6" s="92">
        <f t="shared" si="0"/>
        <v>0</v>
      </c>
      <c r="AJ6" s="92">
        <f t="shared" si="0"/>
        <v>0</v>
      </c>
      <c r="AK6" s="92">
        <f t="shared" si="0"/>
        <v>0</v>
      </c>
      <c r="AL6" s="92">
        <f t="shared" si="0"/>
        <v>0</v>
      </c>
      <c r="AM6" s="92">
        <f t="shared" si="0"/>
        <v>0</v>
      </c>
      <c r="AN6" s="92">
        <f t="shared" si="0"/>
        <v>0</v>
      </c>
      <c r="AO6" s="92">
        <f t="shared" si="0"/>
        <v>0</v>
      </c>
      <c r="AP6" s="92">
        <f t="shared" si="0"/>
        <v>0</v>
      </c>
      <c r="AQ6" s="92">
        <f t="shared" si="0"/>
        <v>0</v>
      </c>
      <c r="AR6" s="92">
        <f t="shared" si="0"/>
        <v>0</v>
      </c>
      <c r="AS6" s="92">
        <f t="shared" si="0"/>
        <v>0</v>
      </c>
      <c r="AT6" s="92"/>
      <c r="AU6" s="92">
        <f t="shared" si="0"/>
        <v>0</v>
      </c>
      <c r="AV6" s="92">
        <f t="shared" si="0"/>
        <v>280</v>
      </c>
      <c r="AW6" s="92">
        <f t="shared" si="0"/>
        <v>0</v>
      </c>
      <c r="AX6" s="92">
        <f t="shared" si="0"/>
        <v>31300</v>
      </c>
      <c r="AY6" s="92">
        <f t="shared" si="0"/>
        <v>6624</v>
      </c>
      <c r="AZ6" s="92">
        <f t="shared" si="0"/>
        <v>0</v>
      </c>
      <c r="BA6" s="92">
        <f t="shared" si="0"/>
        <v>0</v>
      </c>
      <c r="BB6" s="92">
        <f t="shared" si="0"/>
        <v>0</v>
      </c>
      <c r="BC6" s="92">
        <f t="shared" si="0"/>
        <v>6624</v>
      </c>
      <c r="BD6" s="150">
        <f>BC6+AX6</f>
        <v>37924</v>
      </c>
      <c r="BE6" s="92">
        <f>SUM(BE7:BE12)</f>
        <v>0</v>
      </c>
      <c r="BF6" s="150">
        <f aca="true" t="shared" si="1" ref="BF6:BF49">BE6</f>
        <v>0</v>
      </c>
      <c r="BG6" s="150">
        <f>BD6+BF6</f>
        <v>37924</v>
      </c>
      <c r="BH6" s="163">
        <f>BG6-'[3]2011_ktgv_részletező_tábla'!BG6</f>
        <v>1457.6829999999973</v>
      </c>
    </row>
    <row r="7" spans="1:60" s="7" customFormat="1" ht="12.75">
      <c r="A7" s="106"/>
      <c r="B7" s="105" t="s">
        <v>168</v>
      </c>
      <c r="C7" s="13"/>
      <c r="D7" s="13"/>
      <c r="E7" s="13"/>
      <c r="F7" s="13"/>
      <c r="G7" s="13"/>
      <c r="H7" s="13"/>
      <c r="I7" s="13"/>
      <c r="J7" s="13"/>
      <c r="K7" s="13">
        <v>308</v>
      </c>
      <c r="L7" s="13"/>
      <c r="M7" s="13">
        <v>350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28">
        <f>SUM(C7:AW7)</f>
        <v>658</v>
      </c>
      <c r="AY7" s="13"/>
      <c r="AZ7" s="13"/>
      <c r="BA7" s="13"/>
      <c r="BB7" s="13"/>
      <c r="BC7" s="128">
        <f aca="true" t="shared" si="2" ref="BC7:BC12">SUM(AY7:BB7)</f>
        <v>0</v>
      </c>
      <c r="BD7" s="151">
        <f aca="true" t="shared" si="3" ref="BD7:BD49">BC7+AX7</f>
        <v>658</v>
      </c>
      <c r="BE7" s="13"/>
      <c r="BF7" s="152">
        <f t="shared" si="1"/>
        <v>0</v>
      </c>
      <c r="BG7" s="8">
        <f>BD7+BF7</f>
        <v>658</v>
      </c>
      <c r="BH7" s="163">
        <f>BG7-'[3]2011_ktgv_részletező_tábla'!BG7</f>
        <v>349.66</v>
      </c>
    </row>
    <row r="8" spans="1:60" s="7" customFormat="1" ht="12.75">
      <c r="A8" s="106"/>
      <c r="B8" s="105" t="s">
        <v>169</v>
      </c>
      <c r="C8" s="13"/>
      <c r="D8" s="13"/>
      <c r="E8" s="13"/>
      <c r="F8" s="13"/>
      <c r="G8" s="13"/>
      <c r="H8" s="13"/>
      <c r="I8" s="13">
        <v>240</v>
      </c>
      <c r="J8" s="13"/>
      <c r="K8" s="13"/>
      <c r="L8" s="13"/>
      <c r="M8" s="13">
        <f>1518-1</f>
        <v>1517</v>
      </c>
      <c r="N8" s="13"/>
      <c r="O8" s="13"/>
      <c r="P8" s="13"/>
      <c r="Q8" s="13"/>
      <c r="R8" s="13"/>
      <c r="S8" s="13"/>
      <c r="T8" s="13"/>
      <c r="U8" s="13"/>
      <c r="V8" s="13">
        <v>720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>
        <v>280</v>
      </c>
      <c r="AW8" s="13"/>
      <c r="AX8" s="128">
        <f aca="true" t="shared" si="4" ref="AX8:AX36">SUM(C8:AW8)</f>
        <v>2757</v>
      </c>
      <c r="AY8" s="13"/>
      <c r="AZ8" s="13"/>
      <c r="BA8" s="13"/>
      <c r="BB8" s="13"/>
      <c r="BC8" s="128">
        <f t="shared" si="2"/>
        <v>0</v>
      </c>
      <c r="BD8" s="151">
        <f t="shared" si="3"/>
        <v>2757</v>
      </c>
      <c r="BE8" s="13"/>
      <c r="BF8" s="152">
        <f t="shared" si="1"/>
        <v>0</v>
      </c>
      <c r="BG8" s="8">
        <f aca="true" t="shared" si="5" ref="BG8:BG36">BD8+BF8</f>
        <v>2757</v>
      </c>
      <c r="BH8" s="163">
        <f>BG8-'[3]2011_ktgv_részletező_tábla'!BG8</f>
        <v>-0.5</v>
      </c>
    </row>
    <row r="9" spans="1:60" s="7" customFormat="1" ht="12.75">
      <c r="A9" s="106"/>
      <c r="B9" s="107" t="s">
        <v>170</v>
      </c>
      <c r="C9" s="13">
        <v>6286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28">
        <f t="shared" si="4"/>
        <v>6286</v>
      </c>
      <c r="AY9" s="13"/>
      <c r="AZ9" s="13"/>
      <c r="BA9" s="13"/>
      <c r="BB9" s="13"/>
      <c r="BC9" s="128">
        <f t="shared" si="2"/>
        <v>0</v>
      </c>
      <c r="BD9" s="151">
        <f t="shared" si="3"/>
        <v>6286</v>
      </c>
      <c r="BE9" s="13"/>
      <c r="BF9" s="152">
        <f t="shared" si="1"/>
        <v>0</v>
      </c>
      <c r="BG9" s="8">
        <f t="shared" si="5"/>
        <v>6286</v>
      </c>
      <c r="BH9" s="163">
        <f>BG9-'[3]2011_ktgv_részletező_tábla'!BG9</f>
        <v>-0.005000000000109139</v>
      </c>
    </row>
    <row r="10" spans="1:60" s="7" customFormat="1" ht="12.75">
      <c r="A10" s="106"/>
      <c r="B10" s="105" t="s">
        <v>171</v>
      </c>
      <c r="C10" s="13"/>
      <c r="D10" s="13"/>
      <c r="E10" s="13"/>
      <c r="F10" s="13">
        <v>14207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28">
        <f t="shared" si="4"/>
        <v>14207</v>
      </c>
      <c r="AY10" s="13">
        <v>6624</v>
      </c>
      <c r="AZ10" s="13"/>
      <c r="BA10" s="13"/>
      <c r="BB10" s="13"/>
      <c r="BC10" s="128">
        <f t="shared" si="2"/>
        <v>6624</v>
      </c>
      <c r="BD10" s="151">
        <f t="shared" si="3"/>
        <v>20831</v>
      </c>
      <c r="BE10" s="13"/>
      <c r="BF10" s="152">
        <f t="shared" si="1"/>
        <v>0</v>
      </c>
      <c r="BG10" s="8">
        <f t="shared" si="5"/>
        <v>20831</v>
      </c>
      <c r="BH10" s="163">
        <f>BG10-'[3]2011_ktgv_részletező_tábla'!BG10</f>
        <v>0.059999999997671694</v>
      </c>
    </row>
    <row r="11" spans="1:60" s="7" customFormat="1" ht="12.75">
      <c r="A11" s="106"/>
      <c r="B11" s="105" t="s">
        <v>172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>
        <f>5614+208</f>
        <v>5822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28">
        <f t="shared" si="4"/>
        <v>5822</v>
      </c>
      <c r="AY11" s="13"/>
      <c r="AZ11" s="13"/>
      <c r="BA11" s="13"/>
      <c r="BB11" s="13"/>
      <c r="BC11" s="128">
        <f t="shared" si="2"/>
        <v>0</v>
      </c>
      <c r="BD11" s="151">
        <f t="shared" si="3"/>
        <v>5822</v>
      </c>
      <c r="BE11" s="13"/>
      <c r="BF11" s="152">
        <f t="shared" si="1"/>
        <v>0</v>
      </c>
      <c r="BG11" s="8">
        <f t="shared" si="5"/>
        <v>5822</v>
      </c>
      <c r="BH11" s="163">
        <f>BG11-'[3]2011_ktgv_részletező_tábla'!BG11</f>
        <v>208.46799999999985</v>
      </c>
    </row>
    <row r="12" spans="1:60" s="7" customFormat="1" ht="12.75">
      <c r="A12" s="106"/>
      <c r="B12" s="105" t="s">
        <v>173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>
        <f>670+900</f>
        <v>1570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28">
        <f t="shared" si="4"/>
        <v>1570</v>
      </c>
      <c r="AY12" s="13"/>
      <c r="AZ12" s="13"/>
      <c r="BA12" s="13"/>
      <c r="BB12" s="13"/>
      <c r="BC12" s="128">
        <f t="shared" si="2"/>
        <v>0</v>
      </c>
      <c r="BD12" s="151">
        <f t="shared" si="3"/>
        <v>1570</v>
      </c>
      <c r="BE12" s="13"/>
      <c r="BF12" s="152">
        <f t="shared" si="1"/>
        <v>0</v>
      </c>
      <c r="BG12" s="8">
        <f t="shared" si="5"/>
        <v>1570</v>
      </c>
      <c r="BH12" s="163">
        <f>BG12-'[3]2011_ktgv_részletező_tábla'!BG12</f>
        <v>900</v>
      </c>
    </row>
    <row r="13" spans="1:60" s="7" customFormat="1" ht="12.75">
      <c r="A13" s="103">
        <v>2</v>
      </c>
      <c r="B13" s="108" t="s">
        <v>78</v>
      </c>
      <c r="C13" s="92">
        <f>SUM(C14:C21)</f>
        <v>0</v>
      </c>
      <c r="D13" s="92">
        <f aca="true" t="shared" si="6" ref="D13:BC13">SUM(D14:D21)</f>
        <v>0</v>
      </c>
      <c r="E13" s="92">
        <f t="shared" si="6"/>
        <v>0</v>
      </c>
      <c r="F13" s="92">
        <f t="shared" si="6"/>
        <v>0</v>
      </c>
      <c r="G13" s="92"/>
      <c r="H13" s="92">
        <f t="shared" si="6"/>
        <v>1464</v>
      </c>
      <c r="I13" s="92">
        <f t="shared" si="6"/>
        <v>1964</v>
      </c>
      <c r="J13" s="92">
        <f t="shared" si="6"/>
        <v>0</v>
      </c>
      <c r="K13" s="92">
        <f t="shared" si="6"/>
        <v>0</v>
      </c>
      <c r="L13" s="92">
        <f t="shared" si="6"/>
        <v>0</v>
      </c>
      <c r="M13" s="92">
        <f t="shared" si="6"/>
        <v>0</v>
      </c>
      <c r="N13" s="92">
        <f t="shared" si="6"/>
        <v>0</v>
      </c>
      <c r="O13" s="92">
        <f t="shared" si="6"/>
        <v>0</v>
      </c>
      <c r="P13" s="92">
        <f t="shared" si="6"/>
        <v>0</v>
      </c>
      <c r="Q13" s="92">
        <f t="shared" si="6"/>
        <v>0</v>
      </c>
      <c r="R13" s="92">
        <f t="shared" si="6"/>
        <v>141463</v>
      </c>
      <c r="S13" s="92">
        <f t="shared" si="6"/>
        <v>0</v>
      </c>
      <c r="T13" s="92">
        <f t="shared" si="6"/>
        <v>0</v>
      </c>
      <c r="U13" s="92">
        <f t="shared" si="6"/>
        <v>0</v>
      </c>
      <c r="V13" s="92">
        <f t="shared" si="6"/>
        <v>0</v>
      </c>
      <c r="W13" s="92">
        <f t="shared" si="6"/>
        <v>0</v>
      </c>
      <c r="X13" s="92">
        <f t="shared" si="6"/>
        <v>0</v>
      </c>
      <c r="Y13" s="92">
        <f t="shared" si="6"/>
        <v>0</v>
      </c>
      <c r="Z13" s="92">
        <f t="shared" si="6"/>
        <v>0</v>
      </c>
      <c r="AA13" s="92">
        <f t="shared" si="6"/>
        <v>0</v>
      </c>
      <c r="AB13" s="92">
        <f t="shared" si="6"/>
        <v>0</v>
      </c>
      <c r="AC13" s="92">
        <f t="shared" si="6"/>
        <v>0</v>
      </c>
      <c r="AD13" s="92">
        <f t="shared" si="6"/>
        <v>0</v>
      </c>
      <c r="AE13" s="92">
        <f t="shared" si="6"/>
        <v>0</v>
      </c>
      <c r="AF13" s="92">
        <f t="shared" si="6"/>
        <v>0</v>
      </c>
      <c r="AG13" s="92">
        <f t="shared" si="6"/>
        <v>0</v>
      </c>
      <c r="AH13" s="92">
        <f t="shared" si="6"/>
        <v>0</v>
      </c>
      <c r="AI13" s="92">
        <f t="shared" si="6"/>
        <v>0</v>
      </c>
      <c r="AJ13" s="92">
        <f t="shared" si="6"/>
        <v>0</v>
      </c>
      <c r="AK13" s="92">
        <f t="shared" si="6"/>
        <v>0</v>
      </c>
      <c r="AL13" s="92">
        <f t="shared" si="6"/>
        <v>0</v>
      </c>
      <c r="AM13" s="92">
        <f t="shared" si="6"/>
        <v>0</v>
      </c>
      <c r="AN13" s="92">
        <f t="shared" si="6"/>
        <v>0</v>
      </c>
      <c r="AO13" s="92">
        <f t="shared" si="6"/>
        <v>0</v>
      </c>
      <c r="AP13" s="92">
        <f t="shared" si="6"/>
        <v>0</v>
      </c>
      <c r="AQ13" s="92">
        <f t="shared" si="6"/>
        <v>0</v>
      </c>
      <c r="AR13" s="92">
        <f t="shared" si="6"/>
        <v>0</v>
      </c>
      <c r="AS13" s="92">
        <f t="shared" si="6"/>
        <v>0</v>
      </c>
      <c r="AT13" s="92"/>
      <c r="AU13" s="92">
        <f t="shared" si="6"/>
        <v>0</v>
      </c>
      <c r="AV13" s="92">
        <f t="shared" si="6"/>
        <v>0</v>
      </c>
      <c r="AW13" s="92">
        <f t="shared" si="6"/>
        <v>0</v>
      </c>
      <c r="AX13" s="92">
        <f t="shared" si="6"/>
        <v>144891</v>
      </c>
      <c r="AY13" s="92">
        <f t="shared" si="6"/>
        <v>0</v>
      </c>
      <c r="AZ13" s="92">
        <f t="shared" si="6"/>
        <v>0</v>
      </c>
      <c r="BA13" s="92">
        <f t="shared" si="6"/>
        <v>0</v>
      </c>
      <c r="BB13" s="92">
        <f t="shared" si="6"/>
        <v>0</v>
      </c>
      <c r="BC13" s="92">
        <f t="shared" si="6"/>
        <v>0</v>
      </c>
      <c r="BD13" s="150">
        <f t="shared" si="3"/>
        <v>144891</v>
      </c>
      <c r="BE13" s="92">
        <f>SUM(BE14:BE21)</f>
        <v>0</v>
      </c>
      <c r="BF13" s="150">
        <f t="shared" si="1"/>
        <v>0</v>
      </c>
      <c r="BG13" s="150">
        <f>BF13+BC13+AX13</f>
        <v>144891</v>
      </c>
      <c r="BH13" s="163">
        <f>BG13-'[3]2011_ktgv_részletező_tábla'!BG13</f>
        <v>-0.01999999998952262</v>
      </c>
    </row>
    <row r="14" spans="1:60" s="7" customFormat="1" ht="12.75">
      <c r="A14" s="109"/>
      <c r="B14" s="105" t="s">
        <v>146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26705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28">
        <f t="shared" si="4"/>
        <v>26705</v>
      </c>
      <c r="AY14" s="13"/>
      <c r="AZ14" s="13"/>
      <c r="BA14" s="13"/>
      <c r="BB14" s="13"/>
      <c r="BC14" s="128">
        <f>SUM(AY14:BB14)</f>
        <v>0</v>
      </c>
      <c r="BD14" s="151">
        <f t="shared" si="3"/>
        <v>26705</v>
      </c>
      <c r="BE14" s="13"/>
      <c r="BF14" s="152">
        <f t="shared" si="1"/>
        <v>0</v>
      </c>
      <c r="BG14" s="8">
        <f t="shared" si="5"/>
        <v>26705</v>
      </c>
      <c r="BH14" s="163">
        <f>BG14-'[3]2011_ktgv_részletező_tábla'!BG14</f>
        <v>0</v>
      </c>
    </row>
    <row r="15" spans="1:60" s="7" customFormat="1" ht="12.75">
      <c r="A15" s="106"/>
      <c r="B15" s="105" t="s">
        <v>147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v>300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28">
        <f t="shared" si="4"/>
        <v>300</v>
      </c>
      <c r="AY15" s="13"/>
      <c r="AZ15" s="13"/>
      <c r="BA15" s="13"/>
      <c r="BB15" s="13"/>
      <c r="BC15" s="128">
        <f aca="true" t="shared" si="7" ref="BC15:BC21">SUM(AY15:BB15)</f>
        <v>0</v>
      </c>
      <c r="BD15" s="151">
        <f t="shared" si="3"/>
        <v>300</v>
      </c>
      <c r="BE15" s="13"/>
      <c r="BF15" s="152">
        <f t="shared" si="1"/>
        <v>0</v>
      </c>
      <c r="BG15" s="8">
        <f t="shared" si="5"/>
        <v>300</v>
      </c>
      <c r="BH15" s="163">
        <f>BG15-'[3]2011_ktgv_részletező_tábla'!BG15</f>
        <v>0</v>
      </c>
    </row>
    <row r="16" spans="1:60" s="7" customFormat="1" ht="12.75">
      <c r="A16" s="106"/>
      <c r="B16" s="105" t="s">
        <v>148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v>16500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28">
        <f t="shared" si="4"/>
        <v>16500</v>
      </c>
      <c r="AY16" s="13"/>
      <c r="AZ16" s="13"/>
      <c r="BA16" s="13"/>
      <c r="BB16" s="13"/>
      <c r="BC16" s="128">
        <f t="shared" si="7"/>
        <v>0</v>
      </c>
      <c r="BD16" s="151">
        <f t="shared" si="3"/>
        <v>16500</v>
      </c>
      <c r="BE16" s="13"/>
      <c r="BF16" s="152">
        <f t="shared" si="1"/>
        <v>0</v>
      </c>
      <c r="BG16" s="8">
        <f t="shared" si="5"/>
        <v>16500</v>
      </c>
      <c r="BH16" s="163">
        <f>BG16-'[3]2011_ktgv_részletező_tábla'!BG16</f>
        <v>0</v>
      </c>
    </row>
    <row r="17" spans="1:60" s="7" customFormat="1" ht="12.75">
      <c r="A17" s="106"/>
      <c r="B17" s="105" t="s">
        <v>149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29636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28">
        <f t="shared" si="4"/>
        <v>29636</v>
      </c>
      <c r="AY17" s="13"/>
      <c r="AZ17" s="13"/>
      <c r="BA17" s="13"/>
      <c r="BB17" s="13"/>
      <c r="BC17" s="128">
        <f t="shared" si="7"/>
        <v>0</v>
      </c>
      <c r="BD17" s="151">
        <f t="shared" si="3"/>
        <v>29636</v>
      </c>
      <c r="BE17" s="13"/>
      <c r="BF17" s="152">
        <f t="shared" si="1"/>
        <v>0</v>
      </c>
      <c r="BG17" s="8">
        <f t="shared" si="5"/>
        <v>29636</v>
      </c>
      <c r="BH17" s="163">
        <f>BG17-'[3]2011_ktgv_részletező_tábla'!BG17</f>
        <v>0</v>
      </c>
    </row>
    <row r="18" spans="1:60" s="7" customFormat="1" ht="12.75">
      <c r="A18" s="106"/>
      <c r="B18" s="105" t="s">
        <v>150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v>67022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28">
        <f t="shared" si="4"/>
        <v>67022</v>
      </c>
      <c r="AY18" s="13"/>
      <c r="AZ18" s="13"/>
      <c r="BA18" s="13"/>
      <c r="BB18" s="13"/>
      <c r="BC18" s="128">
        <f t="shared" si="7"/>
        <v>0</v>
      </c>
      <c r="BD18" s="151">
        <f t="shared" si="3"/>
        <v>67022</v>
      </c>
      <c r="BE18" s="13"/>
      <c r="BF18" s="152">
        <f t="shared" si="1"/>
        <v>0</v>
      </c>
      <c r="BG18" s="8">
        <f t="shared" si="5"/>
        <v>67022</v>
      </c>
      <c r="BH18" s="163">
        <f>BG18-'[3]2011_ktgv_részletező_tábla'!BG18</f>
        <v>0</v>
      </c>
    </row>
    <row r="19" spans="1:60" s="7" customFormat="1" ht="12.75">
      <c r="A19" s="106"/>
      <c r="B19" s="105" t="s">
        <v>151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>
        <v>200</v>
      </c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28">
        <f t="shared" si="4"/>
        <v>200</v>
      </c>
      <c r="AY19" s="13"/>
      <c r="AZ19" s="13"/>
      <c r="BA19" s="13"/>
      <c r="BB19" s="13"/>
      <c r="BC19" s="128">
        <f t="shared" si="7"/>
        <v>0</v>
      </c>
      <c r="BD19" s="151">
        <f t="shared" si="3"/>
        <v>200</v>
      </c>
      <c r="BE19" s="13"/>
      <c r="BF19" s="152">
        <f t="shared" si="1"/>
        <v>0</v>
      </c>
      <c r="BG19" s="8">
        <f t="shared" si="5"/>
        <v>200</v>
      </c>
      <c r="BH19" s="163">
        <f>BG19-'[3]2011_ktgv_részletező_tábla'!BG19</f>
        <v>0</v>
      </c>
    </row>
    <row r="20" spans="1:60" s="7" customFormat="1" ht="12.75">
      <c r="A20" s="106"/>
      <c r="B20" s="105" t="s">
        <v>152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1000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28">
        <f t="shared" si="4"/>
        <v>1000</v>
      </c>
      <c r="AY20" s="13"/>
      <c r="AZ20" s="13"/>
      <c r="BA20" s="13"/>
      <c r="BB20" s="13"/>
      <c r="BC20" s="128">
        <f t="shared" si="7"/>
        <v>0</v>
      </c>
      <c r="BD20" s="151">
        <f t="shared" si="3"/>
        <v>1000</v>
      </c>
      <c r="BE20" s="13"/>
      <c r="BF20" s="152">
        <f t="shared" si="1"/>
        <v>0</v>
      </c>
      <c r="BG20" s="8">
        <f t="shared" si="5"/>
        <v>1000</v>
      </c>
      <c r="BH20" s="163">
        <f>BG20-'[3]2011_ktgv_részletező_tábla'!BG20</f>
        <v>0</v>
      </c>
    </row>
    <row r="21" spans="1:60" s="7" customFormat="1" ht="12.75">
      <c r="A21" s="110"/>
      <c r="B21" s="105" t="s">
        <v>153</v>
      </c>
      <c r="C21" s="13"/>
      <c r="D21" s="13"/>
      <c r="E21" s="13"/>
      <c r="F21" s="13"/>
      <c r="G21" s="13"/>
      <c r="H21" s="13">
        <v>1464</v>
      </c>
      <c r="I21" s="13">
        <v>1964</v>
      </c>
      <c r="J21" s="13"/>
      <c r="K21" s="13"/>
      <c r="L21" s="13"/>
      <c r="M21" s="13"/>
      <c r="N21" s="13"/>
      <c r="O21" s="13"/>
      <c r="P21" s="13"/>
      <c r="Q21" s="13"/>
      <c r="R21" s="13">
        <v>100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28">
        <f t="shared" si="4"/>
        <v>3528</v>
      </c>
      <c r="AY21" s="13"/>
      <c r="AZ21" s="13"/>
      <c r="BA21" s="13"/>
      <c r="BB21" s="13"/>
      <c r="BC21" s="128">
        <f t="shared" si="7"/>
        <v>0</v>
      </c>
      <c r="BD21" s="151">
        <f t="shared" si="3"/>
        <v>3528</v>
      </c>
      <c r="BE21" s="13"/>
      <c r="BF21" s="152">
        <f t="shared" si="1"/>
        <v>0</v>
      </c>
      <c r="BG21" s="8">
        <f t="shared" si="5"/>
        <v>3528</v>
      </c>
      <c r="BH21" s="163">
        <f>BG21-'[3]2011_ktgv_részletező_tábla'!BG21</f>
        <v>-0.019999999999527063</v>
      </c>
    </row>
    <row r="22" spans="1:60" s="7" customFormat="1" ht="12.75">
      <c r="A22" s="103">
        <v>3</v>
      </c>
      <c r="B22" s="111" t="s">
        <v>72</v>
      </c>
      <c r="C22" s="92">
        <f>SUM(C23:C25)</f>
        <v>0</v>
      </c>
      <c r="D22" s="92">
        <f aca="true" t="shared" si="8" ref="D22:BC22">SUM(D23:D25)</f>
        <v>0</v>
      </c>
      <c r="E22" s="92">
        <f t="shared" si="8"/>
        <v>0</v>
      </c>
      <c r="F22" s="92">
        <f t="shared" si="8"/>
        <v>0</v>
      </c>
      <c r="G22" s="92"/>
      <c r="H22" s="92">
        <f t="shared" si="8"/>
        <v>0</v>
      </c>
      <c r="I22" s="92">
        <f t="shared" si="8"/>
        <v>0</v>
      </c>
      <c r="J22" s="92">
        <f t="shared" si="8"/>
        <v>0</v>
      </c>
      <c r="K22" s="92">
        <f t="shared" si="8"/>
        <v>0</v>
      </c>
      <c r="L22" s="92">
        <f t="shared" si="8"/>
        <v>0</v>
      </c>
      <c r="M22" s="92">
        <f t="shared" si="8"/>
        <v>0</v>
      </c>
      <c r="N22" s="92">
        <f t="shared" si="8"/>
        <v>0</v>
      </c>
      <c r="O22" s="92">
        <f t="shared" si="8"/>
        <v>0</v>
      </c>
      <c r="P22" s="92">
        <f t="shared" si="8"/>
        <v>0</v>
      </c>
      <c r="Q22" s="92">
        <f t="shared" si="8"/>
        <v>0</v>
      </c>
      <c r="R22" s="92">
        <f t="shared" si="8"/>
        <v>79115</v>
      </c>
      <c r="S22" s="92">
        <f t="shared" si="8"/>
        <v>0</v>
      </c>
      <c r="T22" s="92">
        <f t="shared" si="8"/>
        <v>0</v>
      </c>
      <c r="U22" s="92">
        <f t="shared" si="8"/>
        <v>0</v>
      </c>
      <c r="V22" s="92">
        <f t="shared" si="8"/>
        <v>0</v>
      </c>
      <c r="W22" s="92">
        <f t="shared" si="8"/>
        <v>0</v>
      </c>
      <c r="X22" s="92">
        <f t="shared" si="8"/>
        <v>0</v>
      </c>
      <c r="Y22" s="92">
        <f t="shared" si="8"/>
        <v>0</v>
      </c>
      <c r="Z22" s="92">
        <f t="shared" si="8"/>
        <v>0</v>
      </c>
      <c r="AA22" s="92">
        <f t="shared" si="8"/>
        <v>0</v>
      </c>
      <c r="AB22" s="92">
        <f t="shared" si="8"/>
        <v>0</v>
      </c>
      <c r="AC22" s="92">
        <f t="shared" si="8"/>
        <v>0</v>
      </c>
      <c r="AD22" s="92">
        <f t="shared" si="8"/>
        <v>0</v>
      </c>
      <c r="AE22" s="92">
        <f t="shared" si="8"/>
        <v>0</v>
      </c>
      <c r="AF22" s="92">
        <f t="shared" si="8"/>
        <v>0</v>
      </c>
      <c r="AG22" s="92">
        <f t="shared" si="8"/>
        <v>0</v>
      </c>
      <c r="AH22" s="92">
        <f t="shared" si="8"/>
        <v>0</v>
      </c>
      <c r="AI22" s="92">
        <f t="shared" si="8"/>
        <v>0</v>
      </c>
      <c r="AJ22" s="92">
        <f t="shared" si="8"/>
        <v>0</v>
      </c>
      <c r="AK22" s="92">
        <f t="shared" si="8"/>
        <v>0</v>
      </c>
      <c r="AL22" s="92">
        <f t="shared" si="8"/>
        <v>0</v>
      </c>
      <c r="AM22" s="92">
        <f t="shared" si="8"/>
        <v>0</v>
      </c>
      <c r="AN22" s="92">
        <f t="shared" si="8"/>
        <v>0</v>
      </c>
      <c r="AO22" s="92">
        <f t="shared" si="8"/>
        <v>0</v>
      </c>
      <c r="AP22" s="92">
        <f t="shared" si="8"/>
        <v>0</v>
      </c>
      <c r="AQ22" s="92">
        <f t="shared" si="8"/>
        <v>0</v>
      </c>
      <c r="AR22" s="92">
        <f t="shared" si="8"/>
        <v>0</v>
      </c>
      <c r="AS22" s="92">
        <f t="shared" si="8"/>
        <v>0</v>
      </c>
      <c r="AT22" s="92"/>
      <c r="AU22" s="92">
        <f t="shared" si="8"/>
        <v>0</v>
      </c>
      <c r="AV22" s="92">
        <f t="shared" si="8"/>
        <v>0</v>
      </c>
      <c r="AW22" s="92">
        <f t="shared" si="8"/>
        <v>0</v>
      </c>
      <c r="AX22" s="92">
        <f t="shared" si="8"/>
        <v>79115</v>
      </c>
      <c r="AY22" s="92">
        <f t="shared" si="8"/>
        <v>0</v>
      </c>
      <c r="AZ22" s="92">
        <f t="shared" si="8"/>
        <v>0</v>
      </c>
      <c r="BA22" s="92">
        <f t="shared" si="8"/>
        <v>0</v>
      </c>
      <c r="BB22" s="92">
        <f t="shared" si="8"/>
        <v>0</v>
      </c>
      <c r="BC22" s="92">
        <f t="shared" si="8"/>
        <v>0</v>
      </c>
      <c r="BD22" s="150">
        <f t="shared" si="3"/>
        <v>79115</v>
      </c>
      <c r="BE22" s="92">
        <f>SUM(BE23:BE25)</f>
        <v>0</v>
      </c>
      <c r="BF22" s="150">
        <f t="shared" si="1"/>
        <v>0</v>
      </c>
      <c r="BG22" s="150">
        <f>BF22+BC22+AX22</f>
        <v>79115</v>
      </c>
      <c r="BH22" s="163">
        <f>BG22-'[3]2011_ktgv_részletező_tábla'!BG22</f>
        <v>4120</v>
      </c>
    </row>
    <row r="23" spans="1:60" s="7" customFormat="1" ht="12.75">
      <c r="A23" s="106"/>
      <c r="B23" s="112" t="s">
        <v>182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f>'[1]2011_2a_mell'!R23</f>
        <v>53301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28">
        <f t="shared" si="4"/>
        <v>53301</v>
      </c>
      <c r="AY23" s="13"/>
      <c r="AZ23" s="13"/>
      <c r="BA23" s="13"/>
      <c r="BB23" s="13"/>
      <c r="BC23" s="128">
        <f>SUM(AY23:BB23)</f>
        <v>0</v>
      </c>
      <c r="BD23" s="151">
        <f t="shared" si="3"/>
        <v>53301</v>
      </c>
      <c r="BE23" s="13"/>
      <c r="BF23" s="152">
        <f t="shared" si="1"/>
        <v>0</v>
      </c>
      <c r="BG23" s="8">
        <f t="shared" si="5"/>
        <v>53301</v>
      </c>
      <c r="BH23" s="163">
        <f>BG23-'[3]2011_ktgv_részletező_tábla'!BG23</f>
        <v>0</v>
      </c>
    </row>
    <row r="24" spans="1:60" s="7" customFormat="1" ht="12.75">
      <c r="A24" s="106"/>
      <c r="B24" s="113" t="s">
        <v>154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f>'[1]2011_2a_mell'!R24</f>
        <v>21694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28">
        <f t="shared" si="4"/>
        <v>21694</v>
      </c>
      <c r="AY24" s="13"/>
      <c r="AZ24" s="13"/>
      <c r="BA24" s="13"/>
      <c r="BB24" s="13"/>
      <c r="BC24" s="128">
        <f>SUM(AY24:BB24)</f>
        <v>0</v>
      </c>
      <c r="BD24" s="151">
        <f t="shared" si="3"/>
        <v>21694</v>
      </c>
      <c r="BE24" s="13"/>
      <c r="BF24" s="152">
        <f t="shared" si="1"/>
        <v>0</v>
      </c>
      <c r="BG24" s="8">
        <f t="shared" si="5"/>
        <v>21694</v>
      </c>
      <c r="BH24" s="163">
        <f>BG24-'[3]2011_ktgv_részletező_tábla'!BG24</f>
        <v>0</v>
      </c>
    </row>
    <row r="25" spans="1:60" s="7" customFormat="1" ht="12.75">
      <c r="A25" s="106"/>
      <c r="B25" s="113" t="s">
        <v>155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f>500+3497+123</f>
        <v>4120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28">
        <f t="shared" si="4"/>
        <v>4120</v>
      </c>
      <c r="AY25" s="13"/>
      <c r="AZ25" s="13"/>
      <c r="BA25" s="13"/>
      <c r="BB25" s="13"/>
      <c r="BC25" s="128">
        <f>SUM(AY25:BB25)</f>
        <v>0</v>
      </c>
      <c r="BD25" s="151">
        <f t="shared" si="3"/>
        <v>4120</v>
      </c>
      <c r="BE25" s="13"/>
      <c r="BF25" s="152">
        <f t="shared" si="1"/>
        <v>0</v>
      </c>
      <c r="BG25" s="8">
        <f t="shared" si="5"/>
        <v>4120</v>
      </c>
      <c r="BH25" s="163">
        <f>BG25-'[3]2011_ktgv_részletező_tábla'!BG25</f>
        <v>4120</v>
      </c>
    </row>
    <row r="26" spans="1:60" s="7" customFormat="1" ht="12.75">
      <c r="A26" s="103">
        <v>4</v>
      </c>
      <c r="B26" s="111" t="s">
        <v>71</v>
      </c>
      <c r="C26" s="92">
        <f>SUM(C27:C30)</f>
        <v>0</v>
      </c>
      <c r="D26" s="92">
        <f aca="true" t="shared" si="9" ref="D26:BC26">SUM(D27:D30)</f>
        <v>0</v>
      </c>
      <c r="E26" s="92">
        <f t="shared" si="9"/>
        <v>0</v>
      </c>
      <c r="F26" s="92">
        <f t="shared" si="9"/>
        <v>0</v>
      </c>
      <c r="G26" s="92"/>
      <c r="H26" s="92">
        <f t="shared" si="9"/>
        <v>0</v>
      </c>
      <c r="I26" s="92">
        <f t="shared" si="9"/>
        <v>0</v>
      </c>
      <c r="J26" s="92">
        <f t="shared" si="9"/>
        <v>0</v>
      </c>
      <c r="K26" s="92">
        <f t="shared" si="9"/>
        <v>0</v>
      </c>
      <c r="L26" s="92">
        <f t="shared" si="9"/>
        <v>21</v>
      </c>
      <c r="M26" s="92">
        <f t="shared" si="9"/>
        <v>1341</v>
      </c>
      <c r="N26" s="92">
        <f t="shared" si="9"/>
        <v>0</v>
      </c>
      <c r="O26" s="92">
        <f t="shared" si="9"/>
        <v>0</v>
      </c>
      <c r="P26" s="92">
        <f t="shared" si="9"/>
        <v>0</v>
      </c>
      <c r="Q26" s="92">
        <f t="shared" si="9"/>
        <v>0</v>
      </c>
      <c r="R26" s="92">
        <f t="shared" si="9"/>
        <v>0</v>
      </c>
      <c r="S26" s="92">
        <f t="shared" si="9"/>
        <v>0</v>
      </c>
      <c r="T26" s="92">
        <f t="shared" si="9"/>
        <v>0</v>
      </c>
      <c r="U26" s="92">
        <f t="shared" si="9"/>
        <v>0</v>
      </c>
      <c r="V26" s="92">
        <f t="shared" si="9"/>
        <v>3740</v>
      </c>
      <c r="W26" s="92">
        <f t="shared" si="9"/>
        <v>0</v>
      </c>
      <c r="X26" s="92">
        <f t="shared" si="9"/>
        <v>0</v>
      </c>
      <c r="Y26" s="92">
        <f t="shared" si="9"/>
        <v>0</v>
      </c>
      <c r="Z26" s="92">
        <f t="shared" si="9"/>
        <v>0</v>
      </c>
      <c r="AA26" s="92">
        <f t="shared" si="9"/>
        <v>0</v>
      </c>
      <c r="AB26" s="92">
        <f t="shared" si="9"/>
        <v>0</v>
      </c>
      <c r="AC26" s="92">
        <f t="shared" si="9"/>
        <v>0</v>
      </c>
      <c r="AD26" s="92">
        <f t="shared" si="9"/>
        <v>0</v>
      </c>
      <c r="AE26" s="92">
        <f t="shared" si="9"/>
        <v>0</v>
      </c>
      <c r="AF26" s="92">
        <f t="shared" si="9"/>
        <v>0</v>
      </c>
      <c r="AG26" s="92">
        <f t="shared" si="9"/>
        <v>0</v>
      </c>
      <c r="AH26" s="92">
        <f t="shared" si="9"/>
        <v>0</v>
      </c>
      <c r="AI26" s="92">
        <f t="shared" si="9"/>
        <v>0</v>
      </c>
      <c r="AJ26" s="92">
        <f t="shared" si="9"/>
        <v>0</v>
      </c>
      <c r="AK26" s="92">
        <f t="shared" si="9"/>
        <v>0</v>
      </c>
      <c r="AL26" s="92">
        <f t="shared" si="9"/>
        <v>0</v>
      </c>
      <c r="AM26" s="92">
        <f t="shared" si="9"/>
        <v>0</v>
      </c>
      <c r="AN26" s="92">
        <f t="shared" si="9"/>
        <v>0</v>
      </c>
      <c r="AO26" s="92">
        <f t="shared" si="9"/>
        <v>0</v>
      </c>
      <c r="AP26" s="92">
        <f t="shared" si="9"/>
        <v>0</v>
      </c>
      <c r="AQ26" s="92">
        <f t="shared" si="9"/>
        <v>0</v>
      </c>
      <c r="AR26" s="92">
        <f t="shared" si="9"/>
        <v>3000</v>
      </c>
      <c r="AS26" s="92">
        <f t="shared" si="9"/>
        <v>1620</v>
      </c>
      <c r="AT26" s="92"/>
      <c r="AU26" s="92">
        <f t="shared" si="9"/>
        <v>0</v>
      </c>
      <c r="AV26" s="92">
        <f t="shared" si="9"/>
        <v>0</v>
      </c>
      <c r="AW26" s="92">
        <f t="shared" si="9"/>
        <v>0</v>
      </c>
      <c r="AX26" s="92">
        <f t="shared" si="9"/>
        <v>9722</v>
      </c>
      <c r="AY26" s="92">
        <f t="shared" si="9"/>
        <v>0</v>
      </c>
      <c r="AZ26" s="92">
        <f t="shared" si="9"/>
        <v>3735</v>
      </c>
      <c r="BA26" s="92">
        <f t="shared" si="9"/>
        <v>0</v>
      </c>
      <c r="BB26" s="92">
        <f t="shared" si="9"/>
        <v>0</v>
      </c>
      <c r="BC26" s="92">
        <f t="shared" si="9"/>
        <v>3735</v>
      </c>
      <c r="BD26" s="150">
        <f t="shared" si="3"/>
        <v>13457</v>
      </c>
      <c r="BE26" s="92">
        <f>SUM(BE27:BE30)</f>
        <v>210</v>
      </c>
      <c r="BF26" s="150">
        <f t="shared" si="1"/>
        <v>210</v>
      </c>
      <c r="BG26" s="150">
        <f>BF26+BC26+AX26</f>
        <v>13667</v>
      </c>
      <c r="BH26" s="163">
        <f>BG26-'[3]2011_ktgv_részletező_tábla'!BG26</f>
        <v>0.25</v>
      </c>
    </row>
    <row r="27" spans="1:60" s="7" customFormat="1" ht="12.75">
      <c r="A27" s="114"/>
      <c r="B27" s="113" t="s">
        <v>156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28">
        <f t="shared" si="4"/>
        <v>0</v>
      </c>
      <c r="AY27" s="13"/>
      <c r="AZ27" s="13">
        <v>3735</v>
      </c>
      <c r="BA27" s="13"/>
      <c r="BB27" s="13"/>
      <c r="BC27" s="128">
        <f>SUM(AY27:BB27)</f>
        <v>3735</v>
      </c>
      <c r="BD27" s="151">
        <f t="shared" si="3"/>
        <v>3735</v>
      </c>
      <c r="BE27" s="13"/>
      <c r="BF27" s="152">
        <f t="shared" si="1"/>
        <v>0</v>
      </c>
      <c r="BG27" s="8">
        <f t="shared" si="5"/>
        <v>3735</v>
      </c>
      <c r="BH27" s="163">
        <f>BG27-'[3]2011_ktgv_részletező_tábla'!BG27</f>
        <v>0</v>
      </c>
    </row>
    <row r="28" spans="1:60" s="7" customFormat="1" ht="12.75">
      <c r="A28" s="115"/>
      <c r="B28" s="113" t="s">
        <v>157</v>
      </c>
      <c r="C28" s="13"/>
      <c r="D28" s="13"/>
      <c r="E28" s="13"/>
      <c r="F28" s="13"/>
      <c r="G28" s="13"/>
      <c r="H28" s="13"/>
      <c r="I28" s="13"/>
      <c r="J28" s="13"/>
      <c r="K28" s="13"/>
      <c r="L28" s="13">
        <v>21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28">
        <f t="shared" si="4"/>
        <v>21</v>
      </c>
      <c r="AY28" s="13"/>
      <c r="AZ28" s="13"/>
      <c r="BA28" s="13"/>
      <c r="BB28" s="13"/>
      <c r="BC28" s="128">
        <f>SUM(AY28:BB28)</f>
        <v>0</v>
      </c>
      <c r="BD28" s="151">
        <f t="shared" si="3"/>
        <v>21</v>
      </c>
      <c r="BE28" s="13">
        <v>210</v>
      </c>
      <c r="BF28" s="152">
        <f t="shared" si="1"/>
        <v>210</v>
      </c>
      <c r="BG28" s="8">
        <f t="shared" si="5"/>
        <v>231</v>
      </c>
      <c r="BH28" s="163">
        <f>BG28-'[3]2011_ktgv_részletező_tábla'!BG28</f>
        <v>0</v>
      </c>
    </row>
    <row r="29" spans="1:60" s="7" customFormat="1" ht="12.75">
      <c r="A29" s="115"/>
      <c r="B29" s="113" t="s">
        <v>158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65">
        <v>1341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>
        <v>3000</v>
      </c>
      <c r="AS29" s="13">
        <v>1620</v>
      </c>
      <c r="AT29" s="13"/>
      <c r="AU29" s="13"/>
      <c r="AV29" s="13"/>
      <c r="AW29" s="13"/>
      <c r="AX29" s="128">
        <f t="shared" si="4"/>
        <v>5961</v>
      </c>
      <c r="AY29" s="13"/>
      <c r="AZ29" s="13"/>
      <c r="BA29" s="13"/>
      <c r="BB29" s="13"/>
      <c r="BC29" s="128">
        <f>SUM(AY29:BB29)</f>
        <v>0</v>
      </c>
      <c r="BD29" s="151">
        <f t="shared" si="3"/>
        <v>5961</v>
      </c>
      <c r="BE29" s="13"/>
      <c r="BF29" s="152">
        <f t="shared" si="1"/>
        <v>0</v>
      </c>
      <c r="BG29" s="8">
        <f t="shared" si="5"/>
        <v>5961</v>
      </c>
      <c r="BH29" s="163">
        <f>BG29-'[3]2011_ktgv_részletező_tábla'!BG29</f>
        <v>0.25</v>
      </c>
    </row>
    <row r="30" spans="1:60" s="7" customFormat="1" ht="12.75">
      <c r="A30" s="116"/>
      <c r="B30" s="113" t="s">
        <v>159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>
        <v>3740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28">
        <f t="shared" si="4"/>
        <v>3740</v>
      </c>
      <c r="AY30" s="13"/>
      <c r="AZ30" s="13"/>
      <c r="BA30" s="13"/>
      <c r="BB30" s="13"/>
      <c r="BC30" s="128">
        <f>SUM(AY30:BB30)</f>
        <v>0</v>
      </c>
      <c r="BD30" s="151">
        <f t="shared" si="3"/>
        <v>3740</v>
      </c>
      <c r="BE30" s="13"/>
      <c r="BF30" s="152">
        <f t="shared" si="1"/>
        <v>0</v>
      </c>
      <c r="BG30" s="8">
        <f t="shared" si="5"/>
        <v>3740</v>
      </c>
      <c r="BH30" s="163">
        <f>BG30-'[3]2011_ktgv_részletező_tábla'!BG30</f>
        <v>0</v>
      </c>
    </row>
    <row r="31" spans="1:60" s="7" customFormat="1" ht="12.75">
      <c r="A31" s="103">
        <v>5</v>
      </c>
      <c r="B31" s="111" t="s">
        <v>70</v>
      </c>
      <c r="C31" s="92">
        <f>C32</f>
        <v>0</v>
      </c>
      <c r="D31" s="92">
        <f aca="true" t="shared" si="10" ref="D31:BE31">D32</f>
        <v>0</v>
      </c>
      <c r="E31" s="92">
        <f t="shared" si="10"/>
        <v>0</v>
      </c>
      <c r="F31" s="92">
        <f t="shared" si="10"/>
        <v>0</v>
      </c>
      <c r="G31" s="92"/>
      <c r="H31" s="92">
        <f t="shared" si="10"/>
        <v>0</v>
      </c>
      <c r="I31" s="92">
        <f t="shared" si="10"/>
        <v>0</v>
      </c>
      <c r="J31" s="92">
        <f t="shared" si="10"/>
        <v>0</v>
      </c>
      <c r="K31" s="92">
        <f t="shared" si="10"/>
        <v>0</v>
      </c>
      <c r="L31" s="92">
        <f t="shared" si="10"/>
        <v>0</v>
      </c>
      <c r="M31" s="92">
        <f t="shared" si="10"/>
        <v>0</v>
      </c>
      <c r="N31" s="92">
        <f t="shared" si="10"/>
        <v>0</v>
      </c>
      <c r="O31" s="92">
        <f t="shared" si="10"/>
        <v>0</v>
      </c>
      <c r="P31" s="92">
        <f t="shared" si="10"/>
        <v>0</v>
      </c>
      <c r="Q31" s="92">
        <f t="shared" si="10"/>
        <v>0</v>
      </c>
      <c r="R31" s="92">
        <f t="shared" si="10"/>
        <v>0</v>
      </c>
      <c r="S31" s="92">
        <f t="shared" si="10"/>
        <v>0</v>
      </c>
      <c r="T31" s="92">
        <f t="shared" si="10"/>
        <v>0</v>
      </c>
      <c r="U31" s="92">
        <f t="shared" si="10"/>
        <v>0</v>
      </c>
      <c r="V31" s="92">
        <f t="shared" si="10"/>
        <v>0</v>
      </c>
      <c r="W31" s="92">
        <f t="shared" si="10"/>
        <v>0</v>
      </c>
      <c r="X31" s="92">
        <f t="shared" si="10"/>
        <v>0</v>
      </c>
      <c r="Y31" s="92">
        <f t="shared" si="10"/>
        <v>0</v>
      </c>
      <c r="Z31" s="92">
        <f t="shared" si="10"/>
        <v>0</v>
      </c>
      <c r="AA31" s="92">
        <f t="shared" si="10"/>
        <v>0</v>
      </c>
      <c r="AB31" s="92">
        <f t="shared" si="10"/>
        <v>0</v>
      </c>
      <c r="AC31" s="92">
        <f t="shared" si="10"/>
        <v>0</v>
      </c>
      <c r="AD31" s="92">
        <f t="shared" si="10"/>
        <v>0</v>
      </c>
      <c r="AE31" s="92">
        <f t="shared" si="10"/>
        <v>0</v>
      </c>
      <c r="AF31" s="92">
        <f t="shared" si="10"/>
        <v>0</v>
      </c>
      <c r="AG31" s="92">
        <f t="shared" si="10"/>
        <v>0</v>
      </c>
      <c r="AH31" s="92">
        <f t="shared" si="10"/>
        <v>0</v>
      </c>
      <c r="AI31" s="92">
        <f t="shared" si="10"/>
        <v>0</v>
      </c>
      <c r="AJ31" s="92">
        <f t="shared" si="10"/>
        <v>0</v>
      </c>
      <c r="AK31" s="92">
        <f t="shared" si="10"/>
        <v>0</v>
      </c>
      <c r="AL31" s="92">
        <f t="shared" si="10"/>
        <v>0</v>
      </c>
      <c r="AM31" s="92">
        <f t="shared" si="10"/>
        <v>0</v>
      </c>
      <c r="AN31" s="92">
        <f t="shared" si="10"/>
        <v>0</v>
      </c>
      <c r="AO31" s="92">
        <f t="shared" si="10"/>
        <v>0</v>
      </c>
      <c r="AP31" s="92">
        <f t="shared" si="10"/>
        <v>0</v>
      </c>
      <c r="AQ31" s="92">
        <f t="shared" si="10"/>
        <v>0</v>
      </c>
      <c r="AR31" s="92">
        <f t="shared" si="10"/>
        <v>0</v>
      </c>
      <c r="AS31" s="92">
        <f t="shared" si="10"/>
        <v>0</v>
      </c>
      <c r="AT31" s="92"/>
      <c r="AU31" s="92">
        <f t="shared" si="10"/>
        <v>0</v>
      </c>
      <c r="AV31" s="92">
        <f t="shared" si="10"/>
        <v>0</v>
      </c>
      <c r="AW31" s="92">
        <f t="shared" si="10"/>
        <v>474</v>
      </c>
      <c r="AX31" s="92">
        <f t="shared" si="10"/>
        <v>474</v>
      </c>
      <c r="AY31" s="92">
        <f t="shared" si="10"/>
        <v>0</v>
      </c>
      <c r="AZ31" s="92">
        <f t="shared" si="10"/>
        <v>0</v>
      </c>
      <c r="BA31" s="92">
        <f t="shared" si="10"/>
        <v>0</v>
      </c>
      <c r="BB31" s="92">
        <f t="shared" si="10"/>
        <v>0</v>
      </c>
      <c r="BC31" s="92">
        <f t="shared" si="10"/>
        <v>0</v>
      </c>
      <c r="BD31" s="150">
        <f t="shared" si="3"/>
        <v>474</v>
      </c>
      <c r="BE31" s="92">
        <f t="shared" si="10"/>
        <v>0</v>
      </c>
      <c r="BF31" s="150">
        <f t="shared" si="1"/>
        <v>0</v>
      </c>
      <c r="BG31" s="150">
        <f>BF31+BC31+AX31</f>
        <v>474</v>
      </c>
      <c r="BH31" s="163">
        <f>BG31-'[3]2011_ktgv_részletező_tábla'!BG31</f>
        <v>0</v>
      </c>
    </row>
    <row r="32" spans="1:60" s="7" customFormat="1" ht="12.75">
      <c r="A32" s="117"/>
      <c r="B32" s="113" t="s">
        <v>160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>
        <v>474</v>
      </c>
      <c r="AX32" s="128">
        <f t="shared" si="4"/>
        <v>474</v>
      </c>
      <c r="AY32" s="13"/>
      <c r="AZ32" s="13"/>
      <c r="BA32" s="13"/>
      <c r="BB32" s="13"/>
      <c r="BC32" s="128">
        <f>SUM(AY32:BB32)</f>
        <v>0</v>
      </c>
      <c r="BD32" s="151">
        <f t="shared" si="3"/>
        <v>474</v>
      </c>
      <c r="BE32" s="13"/>
      <c r="BF32" s="152">
        <f t="shared" si="1"/>
        <v>0</v>
      </c>
      <c r="BG32" s="8">
        <f t="shared" si="5"/>
        <v>474</v>
      </c>
      <c r="BH32" s="163">
        <f>BG32-'[3]2011_ktgv_részletező_tábla'!BG32</f>
        <v>0</v>
      </c>
    </row>
    <row r="33" spans="1:60" s="7" customFormat="1" ht="12.75">
      <c r="A33" s="103">
        <v>6</v>
      </c>
      <c r="B33" s="118" t="s">
        <v>68</v>
      </c>
      <c r="C33" s="92">
        <f>C34</f>
        <v>0</v>
      </c>
      <c r="D33" s="92">
        <f aca="true" t="shared" si="11" ref="D33:BE33">D34</f>
        <v>0</v>
      </c>
      <c r="E33" s="92">
        <f t="shared" si="11"/>
        <v>0</v>
      </c>
      <c r="F33" s="92">
        <f t="shared" si="11"/>
        <v>0</v>
      </c>
      <c r="G33" s="92"/>
      <c r="H33" s="92">
        <f t="shared" si="11"/>
        <v>0</v>
      </c>
      <c r="I33" s="92">
        <f t="shared" si="11"/>
        <v>0</v>
      </c>
      <c r="J33" s="92">
        <f t="shared" si="11"/>
        <v>0</v>
      </c>
      <c r="K33" s="92">
        <f t="shared" si="11"/>
        <v>0</v>
      </c>
      <c r="L33" s="92">
        <f t="shared" si="11"/>
        <v>0</v>
      </c>
      <c r="M33" s="92">
        <f t="shared" si="11"/>
        <v>2282</v>
      </c>
      <c r="N33" s="92">
        <f t="shared" si="11"/>
        <v>0</v>
      </c>
      <c r="O33" s="92">
        <f t="shared" si="11"/>
        <v>0</v>
      </c>
      <c r="P33" s="92">
        <f t="shared" si="11"/>
        <v>0</v>
      </c>
      <c r="Q33" s="92">
        <f t="shared" si="11"/>
        <v>0</v>
      </c>
      <c r="R33" s="92">
        <f t="shared" si="11"/>
        <v>0</v>
      </c>
      <c r="S33" s="92">
        <f t="shared" si="11"/>
        <v>0</v>
      </c>
      <c r="T33" s="92">
        <f t="shared" si="11"/>
        <v>0</v>
      </c>
      <c r="U33" s="92">
        <f t="shared" si="11"/>
        <v>0</v>
      </c>
      <c r="V33" s="92">
        <f t="shared" si="11"/>
        <v>0</v>
      </c>
      <c r="W33" s="92">
        <f t="shared" si="11"/>
        <v>0</v>
      </c>
      <c r="X33" s="92">
        <f t="shared" si="11"/>
        <v>0</v>
      </c>
      <c r="Y33" s="92">
        <f t="shared" si="11"/>
        <v>0</v>
      </c>
      <c r="Z33" s="92">
        <f t="shared" si="11"/>
        <v>0</v>
      </c>
      <c r="AA33" s="92">
        <f t="shared" si="11"/>
        <v>0</v>
      </c>
      <c r="AB33" s="92">
        <f t="shared" si="11"/>
        <v>0</v>
      </c>
      <c r="AC33" s="92">
        <f t="shared" si="11"/>
        <v>0</v>
      </c>
      <c r="AD33" s="92">
        <f t="shared" si="11"/>
        <v>0</v>
      </c>
      <c r="AE33" s="92">
        <f t="shared" si="11"/>
        <v>0</v>
      </c>
      <c r="AF33" s="92">
        <f t="shared" si="11"/>
        <v>0</v>
      </c>
      <c r="AG33" s="92">
        <f t="shared" si="11"/>
        <v>0</v>
      </c>
      <c r="AH33" s="92">
        <f t="shared" si="11"/>
        <v>0</v>
      </c>
      <c r="AI33" s="92">
        <f t="shared" si="11"/>
        <v>0</v>
      </c>
      <c r="AJ33" s="92">
        <f t="shared" si="11"/>
        <v>0</v>
      </c>
      <c r="AK33" s="92">
        <f t="shared" si="11"/>
        <v>0</v>
      </c>
      <c r="AL33" s="92">
        <f t="shared" si="11"/>
        <v>0</v>
      </c>
      <c r="AM33" s="92">
        <f t="shared" si="11"/>
        <v>0</v>
      </c>
      <c r="AN33" s="92">
        <f t="shared" si="11"/>
        <v>0</v>
      </c>
      <c r="AO33" s="92">
        <f t="shared" si="11"/>
        <v>0</v>
      </c>
      <c r="AP33" s="92">
        <f t="shared" si="11"/>
        <v>0</v>
      </c>
      <c r="AQ33" s="92">
        <f t="shared" si="11"/>
        <v>0</v>
      </c>
      <c r="AR33" s="92">
        <f t="shared" si="11"/>
        <v>0</v>
      </c>
      <c r="AS33" s="92">
        <f t="shared" si="11"/>
        <v>0</v>
      </c>
      <c r="AT33" s="92"/>
      <c r="AU33" s="92">
        <f t="shared" si="11"/>
        <v>0</v>
      </c>
      <c r="AV33" s="92">
        <f t="shared" si="11"/>
        <v>0</v>
      </c>
      <c r="AW33" s="92">
        <f t="shared" si="11"/>
        <v>0</v>
      </c>
      <c r="AX33" s="92">
        <f t="shared" si="11"/>
        <v>2282</v>
      </c>
      <c r="AY33" s="92">
        <f t="shared" si="11"/>
        <v>0</v>
      </c>
      <c r="AZ33" s="92">
        <f t="shared" si="11"/>
        <v>0</v>
      </c>
      <c r="BA33" s="92">
        <f t="shared" si="11"/>
        <v>0</v>
      </c>
      <c r="BB33" s="92">
        <f t="shared" si="11"/>
        <v>0</v>
      </c>
      <c r="BC33" s="92">
        <f t="shared" si="11"/>
        <v>0</v>
      </c>
      <c r="BD33" s="150">
        <f t="shared" si="3"/>
        <v>2282</v>
      </c>
      <c r="BE33" s="92">
        <f t="shared" si="11"/>
        <v>0</v>
      </c>
      <c r="BF33" s="150">
        <f t="shared" si="1"/>
        <v>0</v>
      </c>
      <c r="BG33" s="150">
        <f>BF33+BC33+AX33</f>
        <v>2282</v>
      </c>
      <c r="BH33" s="163">
        <f>BG33-'[3]2011_ktgv_részletező_tábla'!BG33</f>
        <v>0</v>
      </c>
    </row>
    <row r="34" spans="1:60" s="7" customFormat="1" ht="12.75">
      <c r="A34" s="117"/>
      <c r="B34" s="113" t="s">
        <v>161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>
        <v>2282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28">
        <f t="shared" si="4"/>
        <v>2282</v>
      </c>
      <c r="AY34" s="13"/>
      <c r="AZ34" s="13"/>
      <c r="BA34" s="13"/>
      <c r="BB34" s="13"/>
      <c r="BC34" s="128">
        <f>SUM(AY34:BB34)</f>
        <v>0</v>
      </c>
      <c r="BD34" s="151">
        <f t="shared" si="3"/>
        <v>2282</v>
      </c>
      <c r="BE34" s="13"/>
      <c r="BF34" s="152">
        <f t="shared" si="1"/>
        <v>0</v>
      </c>
      <c r="BG34" s="8">
        <f t="shared" si="5"/>
        <v>2282</v>
      </c>
      <c r="BH34" s="163">
        <f>BG34-'[3]2011_ktgv_részletező_tábla'!BG34</f>
        <v>0</v>
      </c>
    </row>
    <row r="35" spans="1:60" s="7" customFormat="1" ht="12.75">
      <c r="A35" s="103">
        <v>7</v>
      </c>
      <c r="B35" s="111" t="s">
        <v>63</v>
      </c>
      <c r="C35" s="92">
        <f>C36</f>
        <v>0</v>
      </c>
      <c r="D35" s="92">
        <f aca="true" t="shared" si="12" ref="D35:BE35">D36</f>
        <v>0</v>
      </c>
      <c r="E35" s="92">
        <f t="shared" si="12"/>
        <v>0</v>
      </c>
      <c r="F35" s="92">
        <f t="shared" si="12"/>
        <v>0</v>
      </c>
      <c r="G35" s="92"/>
      <c r="H35" s="92">
        <f t="shared" si="12"/>
        <v>0</v>
      </c>
      <c r="I35" s="92">
        <f t="shared" si="12"/>
        <v>0</v>
      </c>
      <c r="J35" s="92">
        <f t="shared" si="12"/>
        <v>0</v>
      </c>
      <c r="K35" s="92">
        <f t="shared" si="12"/>
        <v>0</v>
      </c>
      <c r="L35" s="92">
        <f t="shared" si="12"/>
        <v>0</v>
      </c>
      <c r="M35" s="92">
        <f t="shared" si="12"/>
        <v>0</v>
      </c>
      <c r="N35" s="92">
        <f t="shared" si="12"/>
        <v>0</v>
      </c>
      <c r="O35" s="92">
        <f t="shared" si="12"/>
        <v>0</v>
      </c>
      <c r="P35" s="92">
        <f t="shared" si="12"/>
        <v>0</v>
      </c>
      <c r="Q35" s="92">
        <f t="shared" si="12"/>
        <v>0</v>
      </c>
      <c r="R35" s="92">
        <f t="shared" si="12"/>
        <v>0</v>
      </c>
      <c r="S35" s="92">
        <f t="shared" si="12"/>
        <v>0</v>
      </c>
      <c r="T35" s="92">
        <f t="shared" si="12"/>
        <v>0</v>
      </c>
      <c r="U35" s="92">
        <f t="shared" si="12"/>
        <v>0</v>
      </c>
      <c r="V35" s="92">
        <f t="shared" si="12"/>
        <v>0</v>
      </c>
      <c r="W35" s="92">
        <f t="shared" si="12"/>
        <v>0</v>
      </c>
      <c r="X35" s="92">
        <f t="shared" si="12"/>
        <v>0</v>
      </c>
      <c r="Y35" s="92">
        <f t="shared" si="12"/>
        <v>0</v>
      </c>
      <c r="Z35" s="92">
        <f t="shared" si="12"/>
        <v>0</v>
      </c>
      <c r="AA35" s="92">
        <f t="shared" si="12"/>
        <v>0</v>
      </c>
      <c r="AB35" s="92">
        <f t="shared" si="12"/>
        <v>0</v>
      </c>
      <c r="AC35" s="92">
        <f t="shared" si="12"/>
        <v>0</v>
      </c>
      <c r="AD35" s="92">
        <f t="shared" si="12"/>
        <v>0</v>
      </c>
      <c r="AE35" s="92">
        <f t="shared" si="12"/>
        <v>0</v>
      </c>
      <c r="AF35" s="92">
        <f t="shared" si="12"/>
        <v>0</v>
      </c>
      <c r="AG35" s="92">
        <f t="shared" si="12"/>
        <v>0</v>
      </c>
      <c r="AH35" s="92">
        <f t="shared" si="12"/>
        <v>0</v>
      </c>
      <c r="AI35" s="92">
        <f t="shared" si="12"/>
        <v>0</v>
      </c>
      <c r="AJ35" s="92">
        <f t="shared" si="12"/>
        <v>0</v>
      </c>
      <c r="AK35" s="92">
        <f t="shared" si="12"/>
        <v>0</v>
      </c>
      <c r="AL35" s="92">
        <f t="shared" si="12"/>
        <v>0</v>
      </c>
      <c r="AM35" s="92">
        <f t="shared" si="12"/>
        <v>0</v>
      </c>
      <c r="AN35" s="92">
        <f t="shared" si="12"/>
        <v>0</v>
      </c>
      <c r="AO35" s="92">
        <f t="shared" si="12"/>
        <v>0</v>
      </c>
      <c r="AP35" s="92">
        <f t="shared" si="12"/>
        <v>0</v>
      </c>
      <c r="AQ35" s="92">
        <f t="shared" si="12"/>
        <v>0</v>
      </c>
      <c r="AR35" s="92">
        <f t="shared" si="12"/>
        <v>0</v>
      </c>
      <c r="AS35" s="92">
        <f t="shared" si="12"/>
        <v>0</v>
      </c>
      <c r="AT35" s="92"/>
      <c r="AU35" s="92">
        <f t="shared" si="12"/>
        <v>0</v>
      </c>
      <c r="AV35" s="92">
        <f t="shared" si="12"/>
        <v>0</v>
      </c>
      <c r="AW35" s="92">
        <f t="shared" si="12"/>
        <v>0</v>
      </c>
      <c r="AX35" s="92">
        <f t="shared" si="12"/>
        <v>0</v>
      </c>
      <c r="AY35" s="92">
        <f t="shared" si="12"/>
        <v>0</v>
      </c>
      <c r="AZ35" s="92">
        <f t="shared" si="12"/>
        <v>0</v>
      </c>
      <c r="BA35" s="92">
        <f t="shared" si="12"/>
        <v>0</v>
      </c>
      <c r="BB35" s="92">
        <f t="shared" si="12"/>
        <v>0</v>
      </c>
      <c r="BC35" s="92">
        <f t="shared" si="12"/>
        <v>0</v>
      </c>
      <c r="BD35" s="150">
        <f t="shared" si="3"/>
        <v>0</v>
      </c>
      <c r="BE35" s="92">
        <f t="shared" si="12"/>
        <v>0</v>
      </c>
      <c r="BF35" s="150">
        <f t="shared" si="1"/>
        <v>0</v>
      </c>
      <c r="BG35" s="150">
        <f>BF35+BC35+AX35</f>
        <v>0</v>
      </c>
      <c r="BH35" s="163">
        <f>BG35-'[3]2011_ktgv_részletező_tábla'!BG35</f>
        <v>0</v>
      </c>
    </row>
    <row r="36" spans="1:60" s="7" customFormat="1" ht="12.75">
      <c r="A36" s="117"/>
      <c r="B36" s="113" t="s">
        <v>162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28">
        <f t="shared" si="4"/>
        <v>0</v>
      </c>
      <c r="AY36" s="13"/>
      <c r="AZ36" s="13"/>
      <c r="BA36" s="13"/>
      <c r="BB36" s="13"/>
      <c r="BC36" s="128">
        <f>SUM(AY36:BB36)</f>
        <v>0</v>
      </c>
      <c r="BD36" s="153">
        <f t="shared" si="3"/>
        <v>0</v>
      </c>
      <c r="BE36" s="13"/>
      <c r="BF36" s="154">
        <f t="shared" si="1"/>
        <v>0</v>
      </c>
      <c r="BG36" s="8">
        <f t="shared" si="5"/>
        <v>0</v>
      </c>
      <c r="BH36" s="163">
        <f>BG36-'[3]2011_ktgv_részletező_tábla'!BG36</f>
        <v>0</v>
      </c>
    </row>
    <row r="37" spans="1:60" s="7" customFormat="1" ht="15.75">
      <c r="A37" s="99" t="s">
        <v>79</v>
      </c>
      <c r="B37" s="10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102"/>
      <c r="AY37" s="29"/>
      <c r="AZ37" s="29"/>
      <c r="BA37" s="29"/>
      <c r="BB37" s="29"/>
      <c r="BC37" s="102"/>
      <c r="BD37" s="147">
        <f t="shared" si="3"/>
        <v>0</v>
      </c>
      <c r="BE37" s="29"/>
      <c r="BF37" s="147"/>
      <c r="BG37" s="155"/>
      <c r="BH37" s="163">
        <f>BG37-'[3]2011_ktgv_részletező_tábla'!BG37</f>
        <v>0</v>
      </c>
    </row>
    <row r="38" spans="1:60" s="7" customFormat="1" ht="12.75">
      <c r="A38" s="103">
        <v>8</v>
      </c>
      <c r="B38" s="108" t="s">
        <v>73</v>
      </c>
      <c r="C38" s="92">
        <f>C39</f>
        <v>0</v>
      </c>
      <c r="D38" s="92">
        <f aca="true" t="shared" si="13" ref="D38:BE38">D39</f>
        <v>0</v>
      </c>
      <c r="E38" s="92">
        <f t="shared" si="13"/>
        <v>0</v>
      </c>
      <c r="F38" s="92">
        <f t="shared" si="13"/>
        <v>0</v>
      </c>
      <c r="G38" s="92"/>
      <c r="H38" s="92">
        <f t="shared" si="13"/>
        <v>0</v>
      </c>
      <c r="I38" s="92">
        <f t="shared" si="13"/>
        <v>0</v>
      </c>
      <c r="J38" s="92">
        <f t="shared" si="13"/>
        <v>0</v>
      </c>
      <c r="K38" s="92">
        <f t="shared" si="13"/>
        <v>0</v>
      </c>
      <c r="L38" s="92">
        <f t="shared" si="13"/>
        <v>0</v>
      </c>
      <c r="M38" s="92">
        <f t="shared" si="13"/>
        <v>16670</v>
      </c>
      <c r="N38" s="92">
        <f t="shared" si="13"/>
        <v>0</v>
      </c>
      <c r="O38" s="92">
        <f t="shared" si="13"/>
        <v>0</v>
      </c>
      <c r="P38" s="92">
        <f t="shared" si="13"/>
        <v>0</v>
      </c>
      <c r="Q38" s="92">
        <f t="shared" si="13"/>
        <v>0</v>
      </c>
      <c r="R38" s="92">
        <f t="shared" si="13"/>
        <v>0</v>
      </c>
      <c r="S38" s="92">
        <f t="shared" si="13"/>
        <v>0</v>
      </c>
      <c r="T38" s="92">
        <f t="shared" si="13"/>
        <v>0</v>
      </c>
      <c r="U38" s="92">
        <f t="shared" si="13"/>
        <v>0</v>
      </c>
      <c r="V38" s="92">
        <f t="shared" si="13"/>
        <v>0</v>
      </c>
      <c r="W38" s="92">
        <f t="shared" si="13"/>
        <v>0</v>
      </c>
      <c r="X38" s="92">
        <f t="shared" si="13"/>
        <v>0</v>
      </c>
      <c r="Y38" s="92">
        <f t="shared" si="13"/>
        <v>0</v>
      </c>
      <c r="Z38" s="92">
        <f t="shared" si="13"/>
        <v>0</v>
      </c>
      <c r="AA38" s="92">
        <f t="shared" si="13"/>
        <v>0</v>
      </c>
      <c r="AB38" s="92">
        <f t="shared" si="13"/>
        <v>0</v>
      </c>
      <c r="AC38" s="92">
        <f t="shared" si="13"/>
        <v>0</v>
      </c>
      <c r="AD38" s="92">
        <f t="shared" si="13"/>
        <v>0</v>
      </c>
      <c r="AE38" s="92">
        <f t="shared" si="13"/>
        <v>0</v>
      </c>
      <c r="AF38" s="92">
        <f t="shared" si="13"/>
        <v>0</v>
      </c>
      <c r="AG38" s="92">
        <f t="shared" si="13"/>
        <v>0</v>
      </c>
      <c r="AH38" s="92">
        <f t="shared" si="13"/>
        <v>0</v>
      </c>
      <c r="AI38" s="92">
        <f t="shared" si="13"/>
        <v>0</v>
      </c>
      <c r="AJ38" s="92">
        <f t="shared" si="13"/>
        <v>0</v>
      </c>
      <c r="AK38" s="92">
        <f t="shared" si="13"/>
        <v>0</v>
      </c>
      <c r="AL38" s="92">
        <f t="shared" si="13"/>
        <v>0</v>
      </c>
      <c r="AM38" s="92">
        <f t="shared" si="13"/>
        <v>0</v>
      </c>
      <c r="AN38" s="92">
        <f t="shared" si="13"/>
        <v>0</v>
      </c>
      <c r="AO38" s="92">
        <f t="shared" si="13"/>
        <v>0</v>
      </c>
      <c r="AP38" s="92">
        <f t="shared" si="13"/>
        <v>0</v>
      </c>
      <c r="AQ38" s="92">
        <f t="shared" si="13"/>
        <v>0</v>
      </c>
      <c r="AR38" s="92">
        <f t="shared" si="13"/>
        <v>0</v>
      </c>
      <c r="AS38" s="92">
        <f t="shared" si="13"/>
        <v>0</v>
      </c>
      <c r="AT38" s="92"/>
      <c r="AU38" s="92">
        <f t="shared" si="13"/>
        <v>0</v>
      </c>
      <c r="AV38" s="92">
        <f t="shared" si="13"/>
        <v>0</v>
      </c>
      <c r="AW38" s="92">
        <f t="shared" si="13"/>
        <v>0</v>
      </c>
      <c r="AX38" s="92">
        <f t="shared" si="13"/>
        <v>16670</v>
      </c>
      <c r="AY38" s="92">
        <f t="shared" si="13"/>
        <v>0</v>
      </c>
      <c r="AZ38" s="92">
        <f t="shared" si="13"/>
        <v>0</v>
      </c>
      <c r="BA38" s="92">
        <f t="shared" si="13"/>
        <v>0</v>
      </c>
      <c r="BB38" s="92">
        <f t="shared" si="13"/>
        <v>0</v>
      </c>
      <c r="BC38" s="92">
        <f t="shared" si="13"/>
        <v>0</v>
      </c>
      <c r="BD38" s="150">
        <f t="shared" si="3"/>
        <v>16670</v>
      </c>
      <c r="BE38" s="92">
        <f t="shared" si="13"/>
        <v>0</v>
      </c>
      <c r="BF38" s="150">
        <f>BE38</f>
        <v>0</v>
      </c>
      <c r="BG38" s="150">
        <f>BF38+BC38+AX38</f>
        <v>16670</v>
      </c>
      <c r="BH38" s="163">
        <f>BG38-'[3]2011_ktgv_részletező_tábla'!BG38</f>
        <v>0</v>
      </c>
    </row>
    <row r="39" spans="1:60" s="7" customFormat="1" ht="12.75">
      <c r="A39" s="109"/>
      <c r="B39" s="119" t="s">
        <v>163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>
        <v>16670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28">
        <f>SUM(C39:AW39)</f>
        <v>16670</v>
      </c>
      <c r="AY39" s="13"/>
      <c r="AZ39" s="13"/>
      <c r="BA39" s="13"/>
      <c r="BB39" s="13"/>
      <c r="BC39" s="128">
        <f>SUM(AY39:BB39)</f>
        <v>0</v>
      </c>
      <c r="BD39" s="151">
        <f t="shared" si="3"/>
        <v>16670</v>
      </c>
      <c r="BE39" s="13"/>
      <c r="BF39" s="152">
        <f>BE39</f>
        <v>0</v>
      </c>
      <c r="BG39" s="8">
        <f>BD39+BF39</f>
        <v>16670</v>
      </c>
      <c r="BH39" s="163">
        <f>BG39-'[3]2011_ktgv_részletező_tábla'!BG39</f>
        <v>0</v>
      </c>
    </row>
    <row r="40" spans="1:60" s="7" customFormat="1" ht="12.75">
      <c r="A40" s="103">
        <v>9</v>
      </c>
      <c r="B40" s="108" t="s">
        <v>80</v>
      </c>
      <c r="C40" s="92">
        <f>C41</f>
        <v>0</v>
      </c>
      <c r="D40" s="92">
        <f aca="true" t="shared" si="14" ref="D40:BE40">D41</f>
        <v>0</v>
      </c>
      <c r="E40" s="92">
        <f t="shared" si="14"/>
        <v>0</v>
      </c>
      <c r="F40" s="92">
        <f t="shared" si="14"/>
        <v>0</v>
      </c>
      <c r="G40" s="92"/>
      <c r="H40" s="92">
        <f t="shared" si="14"/>
        <v>0</v>
      </c>
      <c r="I40" s="92">
        <f t="shared" si="14"/>
        <v>0</v>
      </c>
      <c r="J40" s="92">
        <f t="shared" si="14"/>
        <v>0</v>
      </c>
      <c r="K40" s="92">
        <f t="shared" si="14"/>
        <v>0</v>
      </c>
      <c r="L40" s="92">
        <f t="shared" si="14"/>
        <v>0</v>
      </c>
      <c r="M40" s="92">
        <f t="shared" si="14"/>
        <v>39628</v>
      </c>
      <c r="N40" s="92">
        <f t="shared" si="14"/>
        <v>0</v>
      </c>
      <c r="O40" s="92">
        <f t="shared" si="14"/>
        <v>0</v>
      </c>
      <c r="P40" s="92">
        <f t="shared" si="14"/>
        <v>0</v>
      </c>
      <c r="Q40" s="92">
        <f t="shared" si="14"/>
        <v>0</v>
      </c>
      <c r="R40" s="92">
        <f t="shared" si="14"/>
        <v>0</v>
      </c>
      <c r="S40" s="92">
        <f t="shared" si="14"/>
        <v>0</v>
      </c>
      <c r="T40" s="92">
        <f t="shared" si="14"/>
        <v>0</v>
      </c>
      <c r="U40" s="92">
        <f t="shared" si="14"/>
        <v>0</v>
      </c>
      <c r="V40" s="92">
        <f t="shared" si="14"/>
        <v>0</v>
      </c>
      <c r="W40" s="92">
        <f t="shared" si="14"/>
        <v>0</v>
      </c>
      <c r="X40" s="92">
        <f t="shared" si="14"/>
        <v>0</v>
      </c>
      <c r="Y40" s="92">
        <f t="shared" si="14"/>
        <v>0</v>
      </c>
      <c r="Z40" s="92">
        <f t="shared" si="14"/>
        <v>0</v>
      </c>
      <c r="AA40" s="92">
        <f t="shared" si="14"/>
        <v>0</v>
      </c>
      <c r="AB40" s="92">
        <f t="shared" si="14"/>
        <v>0</v>
      </c>
      <c r="AC40" s="92">
        <f t="shared" si="14"/>
        <v>0</v>
      </c>
      <c r="AD40" s="92">
        <f t="shared" si="14"/>
        <v>0</v>
      </c>
      <c r="AE40" s="92">
        <f t="shared" si="14"/>
        <v>0</v>
      </c>
      <c r="AF40" s="92">
        <f t="shared" si="14"/>
        <v>0</v>
      </c>
      <c r="AG40" s="92">
        <f t="shared" si="14"/>
        <v>0</v>
      </c>
      <c r="AH40" s="92">
        <f t="shared" si="14"/>
        <v>0</v>
      </c>
      <c r="AI40" s="92">
        <f t="shared" si="14"/>
        <v>0</v>
      </c>
      <c r="AJ40" s="92">
        <f t="shared" si="14"/>
        <v>0</v>
      </c>
      <c r="AK40" s="92">
        <f t="shared" si="14"/>
        <v>0</v>
      </c>
      <c r="AL40" s="92">
        <f t="shared" si="14"/>
        <v>0</v>
      </c>
      <c r="AM40" s="92">
        <f t="shared" si="14"/>
        <v>0</v>
      </c>
      <c r="AN40" s="92">
        <f t="shared" si="14"/>
        <v>0</v>
      </c>
      <c r="AO40" s="92">
        <f t="shared" si="14"/>
        <v>0</v>
      </c>
      <c r="AP40" s="92">
        <f t="shared" si="14"/>
        <v>0</v>
      </c>
      <c r="AQ40" s="92">
        <f t="shared" si="14"/>
        <v>0</v>
      </c>
      <c r="AR40" s="92">
        <f t="shared" si="14"/>
        <v>0</v>
      </c>
      <c r="AS40" s="92">
        <f t="shared" si="14"/>
        <v>0</v>
      </c>
      <c r="AT40" s="92"/>
      <c r="AU40" s="92">
        <f t="shared" si="14"/>
        <v>0</v>
      </c>
      <c r="AV40" s="92">
        <f t="shared" si="14"/>
        <v>0</v>
      </c>
      <c r="AW40" s="92">
        <f t="shared" si="14"/>
        <v>0</v>
      </c>
      <c r="AX40" s="92">
        <f t="shared" si="14"/>
        <v>39628</v>
      </c>
      <c r="AY40" s="92">
        <f t="shared" si="14"/>
        <v>0</v>
      </c>
      <c r="AZ40" s="92">
        <f t="shared" si="14"/>
        <v>0</v>
      </c>
      <c r="BA40" s="92">
        <f t="shared" si="14"/>
        <v>0</v>
      </c>
      <c r="BB40" s="92">
        <f t="shared" si="14"/>
        <v>0</v>
      </c>
      <c r="BC40" s="92">
        <f t="shared" si="14"/>
        <v>0</v>
      </c>
      <c r="BD40" s="150">
        <f t="shared" si="3"/>
        <v>39628</v>
      </c>
      <c r="BE40" s="92">
        <f t="shared" si="14"/>
        <v>0</v>
      </c>
      <c r="BF40" s="150">
        <f>BE40</f>
        <v>0</v>
      </c>
      <c r="BG40" s="150">
        <f>BF40+BC40+AX40</f>
        <v>39628</v>
      </c>
      <c r="BH40" s="163">
        <f>BG40-'[3]2011_ktgv_részletező_tábla'!BG40</f>
        <v>24868.3125</v>
      </c>
    </row>
    <row r="41" spans="1:60" s="7" customFormat="1" ht="12.75">
      <c r="A41" s="106"/>
      <c r="B41" s="120" t="s">
        <v>164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65">
        <f>14760+19881+4987</f>
        <v>39628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28">
        <f>SUM(C41:AW41)</f>
        <v>39628</v>
      </c>
      <c r="AY41" s="13"/>
      <c r="AZ41" s="13"/>
      <c r="BA41" s="13"/>
      <c r="BB41" s="13"/>
      <c r="BC41" s="128">
        <f>SUM(AY41:BB41)</f>
        <v>0</v>
      </c>
      <c r="BD41" s="151">
        <f t="shared" si="3"/>
        <v>39628</v>
      </c>
      <c r="BE41" s="13"/>
      <c r="BF41" s="152">
        <f>BE41</f>
        <v>0</v>
      </c>
      <c r="BG41" s="8">
        <f>BD41+BF41</f>
        <v>39628</v>
      </c>
      <c r="BH41" s="163">
        <f>BG41-'[3]2011_ktgv_részletező_tábla'!BG41</f>
        <v>24868.3125</v>
      </c>
    </row>
    <row r="42" spans="1:60" s="11" customFormat="1" ht="12.75">
      <c r="A42" s="103">
        <v>10</v>
      </c>
      <c r="B42" s="111" t="s">
        <v>213</v>
      </c>
      <c r="C42" s="92">
        <f>C43</f>
        <v>0</v>
      </c>
      <c r="D42" s="92">
        <f aca="true" t="shared" si="15" ref="D42:BE42">D43</f>
        <v>0</v>
      </c>
      <c r="E42" s="92">
        <f t="shared" si="15"/>
        <v>0</v>
      </c>
      <c r="F42" s="92">
        <f t="shared" si="15"/>
        <v>0</v>
      </c>
      <c r="G42" s="92"/>
      <c r="H42" s="92">
        <f t="shared" si="15"/>
        <v>0</v>
      </c>
      <c r="I42" s="92">
        <f t="shared" si="15"/>
        <v>0</v>
      </c>
      <c r="J42" s="92">
        <f t="shared" si="15"/>
        <v>0</v>
      </c>
      <c r="K42" s="92">
        <f t="shared" si="15"/>
        <v>0</v>
      </c>
      <c r="L42" s="92">
        <f t="shared" si="15"/>
        <v>0</v>
      </c>
      <c r="M42" s="92">
        <f t="shared" si="15"/>
        <v>0</v>
      </c>
      <c r="N42" s="92">
        <f t="shared" si="15"/>
        <v>0</v>
      </c>
      <c r="O42" s="92">
        <f t="shared" si="15"/>
        <v>0</v>
      </c>
      <c r="P42" s="92">
        <f t="shared" si="15"/>
        <v>0</v>
      </c>
      <c r="Q42" s="92">
        <f t="shared" si="15"/>
        <v>0</v>
      </c>
      <c r="R42" s="92">
        <f t="shared" si="15"/>
        <v>0</v>
      </c>
      <c r="S42" s="92">
        <f t="shared" si="15"/>
        <v>0</v>
      </c>
      <c r="T42" s="92">
        <f t="shared" si="15"/>
        <v>0</v>
      </c>
      <c r="U42" s="92">
        <f t="shared" si="15"/>
        <v>0</v>
      </c>
      <c r="V42" s="92">
        <f t="shared" si="15"/>
        <v>0</v>
      </c>
      <c r="W42" s="92">
        <f t="shared" si="15"/>
        <v>0</v>
      </c>
      <c r="X42" s="92">
        <f t="shared" si="15"/>
        <v>0</v>
      </c>
      <c r="Y42" s="92">
        <f t="shared" si="15"/>
        <v>0</v>
      </c>
      <c r="Z42" s="92">
        <f t="shared" si="15"/>
        <v>0</v>
      </c>
      <c r="AA42" s="92">
        <f t="shared" si="15"/>
        <v>0</v>
      </c>
      <c r="AB42" s="92">
        <f t="shared" si="15"/>
        <v>0</v>
      </c>
      <c r="AC42" s="92">
        <f t="shared" si="15"/>
        <v>0</v>
      </c>
      <c r="AD42" s="92">
        <f t="shared" si="15"/>
        <v>0</v>
      </c>
      <c r="AE42" s="92">
        <f t="shared" si="15"/>
        <v>0</v>
      </c>
      <c r="AF42" s="92">
        <f t="shared" si="15"/>
        <v>0</v>
      </c>
      <c r="AG42" s="92">
        <f t="shared" si="15"/>
        <v>0</v>
      </c>
      <c r="AH42" s="92">
        <f t="shared" si="15"/>
        <v>0</v>
      </c>
      <c r="AI42" s="92">
        <f t="shared" si="15"/>
        <v>0</v>
      </c>
      <c r="AJ42" s="92">
        <f t="shared" si="15"/>
        <v>0</v>
      </c>
      <c r="AK42" s="92">
        <f t="shared" si="15"/>
        <v>0</v>
      </c>
      <c r="AL42" s="92">
        <f t="shared" si="15"/>
        <v>0</v>
      </c>
      <c r="AM42" s="92">
        <f t="shared" si="15"/>
        <v>0</v>
      </c>
      <c r="AN42" s="92">
        <f t="shared" si="15"/>
        <v>0</v>
      </c>
      <c r="AO42" s="92">
        <f t="shared" si="15"/>
        <v>0</v>
      </c>
      <c r="AP42" s="92">
        <f t="shared" si="15"/>
        <v>0</v>
      </c>
      <c r="AQ42" s="92">
        <f t="shared" si="15"/>
        <v>0</v>
      </c>
      <c r="AR42" s="92">
        <f t="shared" si="15"/>
        <v>0</v>
      </c>
      <c r="AS42" s="92">
        <f t="shared" si="15"/>
        <v>0</v>
      </c>
      <c r="AT42" s="92"/>
      <c r="AU42" s="92">
        <f t="shared" si="15"/>
        <v>0</v>
      </c>
      <c r="AV42" s="92">
        <f t="shared" si="15"/>
        <v>0</v>
      </c>
      <c r="AW42" s="92">
        <f t="shared" si="15"/>
        <v>0</v>
      </c>
      <c r="AX42" s="92">
        <f t="shared" si="15"/>
        <v>0</v>
      </c>
      <c r="AY42" s="92">
        <f t="shared" si="15"/>
        <v>0</v>
      </c>
      <c r="AZ42" s="92">
        <f t="shared" si="15"/>
        <v>0</v>
      </c>
      <c r="BA42" s="92">
        <f t="shared" si="15"/>
        <v>0</v>
      </c>
      <c r="BB42" s="92">
        <f t="shared" si="15"/>
        <v>0</v>
      </c>
      <c r="BC42" s="92">
        <f t="shared" si="15"/>
        <v>0</v>
      </c>
      <c r="BD42" s="150">
        <f t="shared" si="3"/>
        <v>0</v>
      </c>
      <c r="BE42" s="92">
        <f t="shared" si="15"/>
        <v>0</v>
      </c>
      <c r="BF42" s="150">
        <f t="shared" si="1"/>
        <v>0</v>
      </c>
      <c r="BG42" s="150">
        <f>BF42+BC42+AX42</f>
        <v>0</v>
      </c>
      <c r="BH42" s="163">
        <f>BG42-'[3]2011_ktgv_részletező_tábla'!BG42</f>
        <v>0</v>
      </c>
    </row>
    <row r="43" spans="1:60" s="10" customFormat="1" ht="12.75">
      <c r="A43" s="117"/>
      <c r="B43" s="121" t="s">
        <v>212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28">
        <f>SUM(C43:AW43)</f>
        <v>0</v>
      </c>
      <c r="AY43" s="13"/>
      <c r="AZ43" s="13"/>
      <c r="BA43" s="13"/>
      <c r="BB43" s="13"/>
      <c r="BC43" s="128">
        <f>SUM(AY43:BB43)</f>
        <v>0</v>
      </c>
      <c r="BD43" s="151">
        <f t="shared" si="3"/>
        <v>0</v>
      </c>
      <c r="BE43" s="13"/>
      <c r="BF43" s="152">
        <f t="shared" si="1"/>
        <v>0</v>
      </c>
      <c r="BG43" s="8">
        <f>BD43+BF43</f>
        <v>0</v>
      </c>
      <c r="BH43" s="163">
        <f>BG43-'[3]2011_ktgv_részletező_tábla'!BG43</f>
        <v>0</v>
      </c>
    </row>
    <row r="44" spans="1:60" s="7" customFormat="1" ht="12.75">
      <c r="A44" s="103">
        <v>11</v>
      </c>
      <c r="B44" s="122" t="s">
        <v>69</v>
      </c>
      <c r="C44" s="31">
        <f>SUM(C45:C46)</f>
        <v>0</v>
      </c>
      <c r="D44" s="31">
        <f aca="true" t="shared" si="16" ref="D44:BC44">SUM(D45:D46)</f>
        <v>0</v>
      </c>
      <c r="E44" s="31">
        <f t="shared" si="16"/>
        <v>0</v>
      </c>
      <c r="F44" s="31">
        <f t="shared" si="16"/>
        <v>0</v>
      </c>
      <c r="G44" s="31"/>
      <c r="H44" s="31">
        <f t="shared" si="16"/>
        <v>0</v>
      </c>
      <c r="I44" s="31">
        <f t="shared" si="16"/>
        <v>0</v>
      </c>
      <c r="J44" s="31">
        <f t="shared" si="16"/>
        <v>0</v>
      </c>
      <c r="K44" s="31">
        <f t="shared" si="16"/>
        <v>0</v>
      </c>
      <c r="L44" s="31">
        <f t="shared" si="16"/>
        <v>0</v>
      </c>
      <c r="M44" s="31">
        <f t="shared" si="16"/>
        <v>4600</v>
      </c>
      <c r="N44" s="31">
        <f t="shared" si="16"/>
        <v>0</v>
      </c>
      <c r="O44" s="31">
        <f t="shared" si="16"/>
        <v>0</v>
      </c>
      <c r="P44" s="31">
        <f t="shared" si="16"/>
        <v>0</v>
      </c>
      <c r="Q44" s="31">
        <f t="shared" si="16"/>
        <v>0</v>
      </c>
      <c r="R44" s="31">
        <f t="shared" si="16"/>
        <v>0</v>
      </c>
      <c r="S44" s="31">
        <f t="shared" si="16"/>
        <v>0</v>
      </c>
      <c r="T44" s="31">
        <f t="shared" si="16"/>
        <v>0</v>
      </c>
      <c r="U44" s="31">
        <f t="shared" si="16"/>
        <v>0</v>
      </c>
      <c r="V44" s="31">
        <f t="shared" si="16"/>
        <v>0</v>
      </c>
      <c r="W44" s="31">
        <f t="shared" si="16"/>
        <v>0</v>
      </c>
      <c r="X44" s="31">
        <f t="shared" si="16"/>
        <v>0</v>
      </c>
      <c r="Y44" s="31">
        <f t="shared" si="16"/>
        <v>0</v>
      </c>
      <c r="Z44" s="31">
        <f t="shared" si="16"/>
        <v>0</v>
      </c>
      <c r="AA44" s="31">
        <f t="shared" si="16"/>
        <v>0</v>
      </c>
      <c r="AB44" s="31">
        <f t="shared" si="16"/>
        <v>0</v>
      </c>
      <c r="AC44" s="31">
        <f t="shared" si="16"/>
        <v>0</v>
      </c>
      <c r="AD44" s="31">
        <f t="shared" si="16"/>
        <v>0</v>
      </c>
      <c r="AE44" s="31">
        <f t="shared" si="16"/>
        <v>0</v>
      </c>
      <c r="AF44" s="31">
        <f t="shared" si="16"/>
        <v>0</v>
      </c>
      <c r="AG44" s="31">
        <f t="shared" si="16"/>
        <v>0</v>
      </c>
      <c r="AH44" s="31">
        <f t="shared" si="16"/>
        <v>0</v>
      </c>
      <c r="AI44" s="31">
        <f t="shared" si="16"/>
        <v>0</v>
      </c>
      <c r="AJ44" s="31">
        <f t="shared" si="16"/>
        <v>0</v>
      </c>
      <c r="AK44" s="31">
        <f t="shared" si="16"/>
        <v>0</v>
      </c>
      <c r="AL44" s="31">
        <f t="shared" si="16"/>
        <v>0</v>
      </c>
      <c r="AM44" s="31">
        <f t="shared" si="16"/>
        <v>0</v>
      </c>
      <c r="AN44" s="31">
        <f t="shared" si="16"/>
        <v>0</v>
      </c>
      <c r="AO44" s="31">
        <f t="shared" si="16"/>
        <v>0</v>
      </c>
      <c r="AP44" s="31">
        <f t="shared" si="16"/>
        <v>0</v>
      </c>
      <c r="AQ44" s="31">
        <f t="shared" si="16"/>
        <v>0</v>
      </c>
      <c r="AR44" s="31">
        <f t="shared" si="16"/>
        <v>0</v>
      </c>
      <c r="AS44" s="31">
        <f t="shared" si="16"/>
        <v>0</v>
      </c>
      <c r="AT44" s="31"/>
      <c r="AU44" s="31">
        <f t="shared" si="16"/>
        <v>0</v>
      </c>
      <c r="AV44" s="31">
        <f t="shared" si="16"/>
        <v>0</v>
      </c>
      <c r="AW44" s="31">
        <f t="shared" si="16"/>
        <v>0</v>
      </c>
      <c r="AX44" s="92">
        <f t="shared" si="16"/>
        <v>4600</v>
      </c>
      <c r="AY44" s="31">
        <f t="shared" si="16"/>
        <v>0</v>
      </c>
      <c r="AZ44" s="31">
        <f t="shared" si="16"/>
        <v>0</v>
      </c>
      <c r="BA44" s="31">
        <f t="shared" si="16"/>
        <v>0</v>
      </c>
      <c r="BB44" s="31">
        <f t="shared" si="16"/>
        <v>0</v>
      </c>
      <c r="BC44" s="92">
        <f t="shared" si="16"/>
        <v>0</v>
      </c>
      <c r="BD44" s="150">
        <f t="shared" si="3"/>
        <v>4600</v>
      </c>
      <c r="BE44" s="31">
        <f>SUM(BE45:BE46)</f>
        <v>0</v>
      </c>
      <c r="BF44" s="150">
        <f t="shared" si="1"/>
        <v>0</v>
      </c>
      <c r="BG44" s="150">
        <f>BF44+BC44+AX44</f>
        <v>4600</v>
      </c>
      <c r="BH44" s="163">
        <f>BG44-'[3]2011_ktgv_részletező_tábla'!BG44</f>
        <v>0</v>
      </c>
    </row>
    <row r="45" spans="1:60" s="7" customFormat="1" ht="12.75">
      <c r="A45" s="123"/>
      <c r="B45" s="113" t="s">
        <v>165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>
        <v>4600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28">
        <f>'[1]2011_2a_mell'!AW45</f>
        <v>4600</v>
      </c>
      <c r="AY45" s="13"/>
      <c r="AZ45" s="13"/>
      <c r="BA45" s="13"/>
      <c r="BB45" s="13"/>
      <c r="BC45" s="128">
        <f>SUM(AY45:BB45)</f>
        <v>0</v>
      </c>
      <c r="BD45" s="151">
        <f t="shared" si="3"/>
        <v>4600</v>
      </c>
      <c r="BE45" s="13"/>
      <c r="BF45" s="152">
        <f t="shared" si="1"/>
        <v>0</v>
      </c>
      <c r="BG45" s="8">
        <f>BD45+BF45</f>
        <v>4600</v>
      </c>
      <c r="BH45" s="163">
        <f>BG45-'[3]2011_ktgv_részletező_tábla'!BG45</f>
        <v>0</v>
      </c>
    </row>
    <row r="46" spans="1:60" s="7" customFormat="1" ht="12.75">
      <c r="A46" s="124"/>
      <c r="B46" s="113" t="s">
        <v>166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28">
        <f>'[1]2011_2a_mell'!AW46</f>
        <v>0</v>
      </c>
      <c r="AY46" s="13"/>
      <c r="AZ46" s="13"/>
      <c r="BA46" s="13"/>
      <c r="BB46" s="13"/>
      <c r="BC46" s="128">
        <f>SUM(AY46:BB46)</f>
        <v>0</v>
      </c>
      <c r="BD46" s="153">
        <f t="shared" si="3"/>
        <v>0</v>
      </c>
      <c r="BE46" s="13"/>
      <c r="BF46" s="154">
        <f t="shared" si="1"/>
        <v>0</v>
      </c>
      <c r="BG46" s="8">
        <f>BD46+BF46</f>
        <v>0</v>
      </c>
      <c r="BH46" s="163">
        <f>BG46-'[3]2011_ktgv_részletező_tábla'!BG46</f>
        <v>0</v>
      </c>
    </row>
    <row r="47" spans="1:60" s="7" customFormat="1" ht="15.75">
      <c r="A47" s="99" t="s">
        <v>81</v>
      </c>
      <c r="B47" s="10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102"/>
      <c r="AY47" s="29"/>
      <c r="AZ47" s="29"/>
      <c r="BA47" s="29"/>
      <c r="BB47" s="29"/>
      <c r="BC47" s="102"/>
      <c r="BD47" s="156">
        <f t="shared" si="3"/>
        <v>0</v>
      </c>
      <c r="BE47" s="29"/>
      <c r="BF47" s="147"/>
      <c r="BG47" s="155"/>
      <c r="BH47" s="163">
        <f>BG47-'[3]2011_ktgv_részletező_tábla'!BG47</f>
        <v>0</v>
      </c>
    </row>
    <row r="48" spans="1:60" s="7" customFormat="1" ht="12.75">
      <c r="A48" s="103">
        <v>12</v>
      </c>
      <c r="B48" s="125" t="s">
        <v>64</v>
      </c>
      <c r="C48" s="92">
        <f>C49</f>
        <v>0</v>
      </c>
      <c r="D48" s="92">
        <f aca="true" t="shared" si="17" ref="D48:BE48">D49</f>
        <v>0</v>
      </c>
      <c r="E48" s="92">
        <f t="shared" si="17"/>
        <v>0</v>
      </c>
      <c r="F48" s="92">
        <f t="shared" si="17"/>
        <v>0</v>
      </c>
      <c r="G48" s="92"/>
      <c r="H48" s="92">
        <f t="shared" si="17"/>
        <v>0</v>
      </c>
      <c r="I48" s="92">
        <f t="shared" si="17"/>
        <v>0</v>
      </c>
      <c r="J48" s="92">
        <f t="shared" si="17"/>
        <v>0</v>
      </c>
      <c r="K48" s="92">
        <f t="shared" si="17"/>
        <v>0</v>
      </c>
      <c r="L48" s="92">
        <f t="shared" si="17"/>
        <v>0</v>
      </c>
      <c r="M48" s="92">
        <f t="shared" si="17"/>
        <v>20</v>
      </c>
      <c r="N48" s="92">
        <f t="shared" si="17"/>
        <v>0</v>
      </c>
      <c r="O48" s="92">
        <f t="shared" si="17"/>
        <v>0</v>
      </c>
      <c r="P48" s="92">
        <f t="shared" si="17"/>
        <v>0</v>
      </c>
      <c r="Q48" s="92">
        <f t="shared" si="17"/>
        <v>0</v>
      </c>
      <c r="R48" s="92">
        <f t="shared" si="17"/>
        <v>0</v>
      </c>
      <c r="S48" s="92">
        <f t="shared" si="17"/>
        <v>0</v>
      </c>
      <c r="T48" s="92">
        <f t="shared" si="17"/>
        <v>0</v>
      </c>
      <c r="U48" s="92">
        <f t="shared" si="17"/>
        <v>0</v>
      </c>
      <c r="V48" s="92">
        <f t="shared" si="17"/>
        <v>0</v>
      </c>
      <c r="W48" s="92">
        <f t="shared" si="17"/>
        <v>0</v>
      </c>
      <c r="X48" s="92">
        <f t="shared" si="17"/>
        <v>0</v>
      </c>
      <c r="Y48" s="92">
        <f t="shared" si="17"/>
        <v>0</v>
      </c>
      <c r="Z48" s="92">
        <f t="shared" si="17"/>
        <v>0</v>
      </c>
      <c r="AA48" s="92">
        <f t="shared" si="17"/>
        <v>0</v>
      </c>
      <c r="AB48" s="92">
        <f t="shared" si="17"/>
        <v>0</v>
      </c>
      <c r="AC48" s="92">
        <f t="shared" si="17"/>
        <v>0</v>
      </c>
      <c r="AD48" s="92">
        <f t="shared" si="17"/>
        <v>0</v>
      </c>
      <c r="AE48" s="92">
        <f t="shared" si="17"/>
        <v>0</v>
      </c>
      <c r="AF48" s="92">
        <f t="shared" si="17"/>
        <v>0</v>
      </c>
      <c r="AG48" s="92">
        <f t="shared" si="17"/>
        <v>0</v>
      </c>
      <c r="AH48" s="92">
        <f t="shared" si="17"/>
        <v>0</v>
      </c>
      <c r="AI48" s="92">
        <f t="shared" si="17"/>
        <v>0</v>
      </c>
      <c r="AJ48" s="92">
        <f t="shared" si="17"/>
        <v>0</v>
      </c>
      <c r="AK48" s="92">
        <f t="shared" si="17"/>
        <v>0</v>
      </c>
      <c r="AL48" s="92">
        <f t="shared" si="17"/>
        <v>0</v>
      </c>
      <c r="AM48" s="92">
        <f t="shared" si="17"/>
        <v>0</v>
      </c>
      <c r="AN48" s="92">
        <f t="shared" si="17"/>
        <v>0</v>
      </c>
      <c r="AO48" s="92">
        <f t="shared" si="17"/>
        <v>0</v>
      </c>
      <c r="AP48" s="92">
        <f t="shared" si="17"/>
        <v>0</v>
      </c>
      <c r="AQ48" s="92">
        <f t="shared" si="17"/>
        <v>0</v>
      </c>
      <c r="AR48" s="92">
        <f t="shared" si="17"/>
        <v>0</v>
      </c>
      <c r="AS48" s="92">
        <f t="shared" si="17"/>
        <v>0</v>
      </c>
      <c r="AT48" s="92"/>
      <c r="AU48" s="92">
        <f t="shared" si="17"/>
        <v>0</v>
      </c>
      <c r="AV48" s="92">
        <f t="shared" si="17"/>
        <v>0</v>
      </c>
      <c r="AW48" s="92">
        <f t="shared" si="17"/>
        <v>0</v>
      </c>
      <c r="AX48" s="92">
        <f t="shared" si="17"/>
        <v>20</v>
      </c>
      <c r="AY48" s="92">
        <f t="shared" si="17"/>
        <v>0</v>
      </c>
      <c r="AZ48" s="92">
        <f t="shared" si="17"/>
        <v>0</v>
      </c>
      <c r="BA48" s="92">
        <f t="shared" si="17"/>
        <v>0</v>
      </c>
      <c r="BB48" s="92">
        <f t="shared" si="17"/>
        <v>0</v>
      </c>
      <c r="BC48" s="92">
        <f t="shared" si="17"/>
        <v>0</v>
      </c>
      <c r="BD48" s="150">
        <f t="shared" si="3"/>
        <v>20</v>
      </c>
      <c r="BE48" s="92">
        <f t="shared" si="17"/>
        <v>0</v>
      </c>
      <c r="BF48" s="150">
        <f t="shared" si="1"/>
        <v>0</v>
      </c>
      <c r="BG48" s="150">
        <f>BF48+BC48+AX48</f>
        <v>20</v>
      </c>
      <c r="BH48" s="163">
        <f>BG48-'[3]2011_ktgv_részletező_tábla'!BG48</f>
        <v>0</v>
      </c>
    </row>
    <row r="49" spans="1:60" s="7" customFormat="1" ht="12.75">
      <c r="A49" s="117"/>
      <c r="B49" s="113" t="s">
        <v>167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>
        <v>20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28">
        <f>SUM(C49:AW49)</f>
        <v>20</v>
      </c>
      <c r="AY49" s="13"/>
      <c r="AZ49" s="13"/>
      <c r="BA49" s="13"/>
      <c r="BB49" s="13"/>
      <c r="BC49" s="128">
        <f>SUM(AY49:BB49)</f>
        <v>0</v>
      </c>
      <c r="BD49" s="151">
        <f t="shared" si="3"/>
        <v>20</v>
      </c>
      <c r="BE49" s="13"/>
      <c r="BF49" s="152">
        <f t="shared" si="1"/>
        <v>0</v>
      </c>
      <c r="BG49" s="8">
        <f>BD49+BF49</f>
        <v>20</v>
      </c>
      <c r="BH49" s="163">
        <f>BG49-'[3]2011_ktgv_részletező_tábla'!BG49</f>
        <v>0</v>
      </c>
    </row>
    <row r="50" spans="1:60" s="23" customFormat="1" ht="24" customHeight="1">
      <c r="A50" s="126"/>
      <c r="B50" s="127" t="s">
        <v>60</v>
      </c>
      <c r="C50" s="93">
        <f>C48+C44+C42+C40+C38+C35+C33+C31+C26+C22+C13+C6</f>
        <v>6286</v>
      </c>
      <c r="D50" s="93">
        <f aca="true" t="shared" si="18" ref="D50:BC50">D48+D44+D42+D40+D38+D35+D33+D31+D26+D22+D13+D6</f>
        <v>0</v>
      </c>
      <c r="E50" s="93">
        <f t="shared" si="18"/>
        <v>0</v>
      </c>
      <c r="F50" s="93">
        <f t="shared" si="18"/>
        <v>14207</v>
      </c>
      <c r="G50" s="93"/>
      <c r="H50" s="93">
        <f t="shared" si="18"/>
        <v>1464</v>
      </c>
      <c r="I50" s="93">
        <f t="shared" si="18"/>
        <v>2204</v>
      </c>
      <c r="J50" s="93">
        <f t="shared" si="18"/>
        <v>0</v>
      </c>
      <c r="K50" s="93">
        <f t="shared" si="18"/>
        <v>308</v>
      </c>
      <c r="L50" s="93">
        <f t="shared" si="18"/>
        <v>21</v>
      </c>
      <c r="M50" s="93">
        <f t="shared" si="18"/>
        <v>73800</v>
      </c>
      <c r="N50" s="93">
        <f t="shared" si="18"/>
        <v>0</v>
      </c>
      <c r="O50" s="93">
        <f t="shared" si="18"/>
        <v>0</v>
      </c>
      <c r="P50" s="93">
        <f t="shared" si="18"/>
        <v>0</v>
      </c>
      <c r="Q50" s="93">
        <f t="shared" si="18"/>
        <v>0</v>
      </c>
      <c r="R50" s="93">
        <f t="shared" si="18"/>
        <v>220578</v>
      </c>
      <c r="S50" s="93">
        <f t="shared" si="18"/>
        <v>0</v>
      </c>
      <c r="T50" s="93">
        <f t="shared" si="18"/>
        <v>0</v>
      </c>
      <c r="U50" s="93">
        <f t="shared" si="18"/>
        <v>0</v>
      </c>
      <c r="V50" s="93">
        <f t="shared" si="18"/>
        <v>4460</v>
      </c>
      <c r="W50" s="93">
        <f t="shared" si="18"/>
        <v>0</v>
      </c>
      <c r="X50" s="93">
        <f t="shared" si="18"/>
        <v>0</v>
      </c>
      <c r="Y50" s="93">
        <f t="shared" si="18"/>
        <v>0</v>
      </c>
      <c r="Z50" s="93">
        <f t="shared" si="18"/>
        <v>0</v>
      </c>
      <c r="AA50" s="93">
        <f t="shared" si="18"/>
        <v>0</v>
      </c>
      <c r="AB50" s="93">
        <f t="shared" si="18"/>
        <v>0</v>
      </c>
      <c r="AC50" s="93">
        <f t="shared" si="18"/>
        <v>0</v>
      </c>
      <c r="AD50" s="93">
        <f t="shared" si="18"/>
        <v>0</v>
      </c>
      <c r="AE50" s="93">
        <f t="shared" si="18"/>
        <v>0</v>
      </c>
      <c r="AF50" s="93">
        <f t="shared" si="18"/>
        <v>0</v>
      </c>
      <c r="AG50" s="93">
        <f t="shared" si="18"/>
        <v>0</v>
      </c>
      <c r="AH50" s="93">
        <f t="shared" si="18"/>
        <v>0</v>
      </c>
      <c r="AI50" s="93">
        <f t="shared" si="18"/>
        <v>0</v>
      </c>
      <c r="AJ50" s="93">
        <f t="shared" si="18"/>
        <v>0</v>
      </c>
      <c r="AK50" s="93">
        <f t="shared" si="18"/>
        <v>0</v>
      </c>
      <c r="AL50" s="93">
        <f t="shared" si="18"/>
        <v>0</v>
      </c>
      <c r="AM50" s="93">
        <f t="shared" si="18"/>
        <v>0</v>
      </c>
      <c r="AN50" s="93">
        <f t="shared" si="18"/>
        <v>0</v>
      </c>
      <c r="AO50" s="93">
        <f t="shared" si="18"/>
        <v>0</v>
      </c>
      <c r="AP50" s="93">
        <f t="shared" si="18"/>
        <v>0</v>
      </c>
      <c r="AQ50" s="93">
        <f t="shared" si="18"/>
        <v>0</v>
      </c>
      <c r="AR50" s="93">
        <f t="shared" si="18"/>
        <v>3000</v>
      </c>
      <c r="AS50" s="93">
        <f t="shared" si="18"/>
        <v>1620</v>
      </c>
      <c r="AT50" s="93"/>
      <c r="AU50" s="93">
        <f t="shared" si="18"/>
        <v>0</v>
      </c>
      <c r="AV50" s="93">
        <f t="shared" si="18"/>
        <v>280</v>
      </c>
      <c r="AW50" s="93">
        <f t="shared" si="18"/>
        <v>474</v>
      </c>
      <c r="AX50" s="93">
        <f t="shared" si="18"/>
        <v>328702</v>
      </c>
      <c r="AY50" s="93">
        <f t="shared" si="18"/>
        <v>6624</v>
      </c>
      <c r="AZ50" s="93">
        <f t="shared" si="18"/>
        <v>3735</v>
      </c>
      <c r="BA50" s="93">
        <f t="shared" si="18"/>
        <v>0</v>
      </c>
      <c r="BB50" s="93">
        <f t="shared" si="18"/>
        <v>0</v>
      </c>
      <c r="BC50" s="93">
        <f t="shared" si="18"/>
        <v>10359</v>
      </c>
      <c r="BD50" s="6">
        <f>BD35+BD48+BD33+BD44+BD31+BD42+BD26+BD22+BD38+BD13+BD40+BD6</f>
        <v>339061</v>
      </c>
      <c r="BE50" s="93">
        <f>BE48+BE44+BE42+BE40+BE38+BE35+BE33+BE31+BE26+BE22+BE13+BE6</f>
        <v>210</v>
      </c>
      <c r="BF50" s="6">
        <f>BF35+BF48+BF33+BF44+BF31+BF42+BF26+BF22+BF38+BF13+BF40+BF6</f>
        <v>210</v>
      </c>
      <c r="BG50" s="157">
        <f>BF50+BC50+AX50</f>
        <v>339271</v>
      </c>
      <c r="BH50" s="163">
        <f>BG50-'[3]2011_ktgv_részletező_tábla'!BG50</f>
        <v>30446.2255</v>
      </c>
    </row>
    <row r="51" spans="1:60" s="5" customFormat="1" ht="24" customHeight="1">
      <c r="A51" s="22"/>
      <c r="B51" s="21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19"/>
      <c r="AY51" s="20"/>
      <c r="AZ51" s="20"/>
      <c r="BA51" s="20"/>
      <c r="BB51" s="20"/>
      <c r="BC51" s="19"/>
      <c r="BD51" s="19"/>
      <c r="BE51" s="20"/>
      <c r="BF51" s="19"/>
      <c r="BG51" s="18"/>
      <c r="BH51" s="163">
        <f>BG51-'[3]2011_ktgv_részletező_tábla'!BG51</f>
        <v>0</v>
      </c>
    </row>
    <row r="52" spans="1:60" s="17" customFormat="1" ht="18.75" customHeight="1">
      <c r="A52" s="620" t="s">
        <v>59</v>
      </c>
      <c r="B52" s="620"/>
      <c r="C52" s="622" t="s">
        <v>58</v>
      </c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 t="s">
        <v>58</v>
      </c>
      <c r="AD52" s="623"/>
      <c r="AE52" s="623"/>
      <c r="AF52" s="623"/>
      <c r="AG52" s="623"/>
      <c r="AH52" s="623"/>
      <c r="AI52" s="623"/>
      <c r="AJ52" s="623"/>
      <c r="AK52" s="623"/>
      <c r="AL52" s="623"/>
      <c r="AM52" s="623"/>
      <c r="AN52" s="623"/>
      <c r="AO52" s="623"/>
      <c r="AP52" s="623"/>
      <c r="AQ52" s="623"/>
      <c r="AR52" s="623"/>
      <c r="AS52" s="623"/>
      <c r="AT52" s="623"/>
      <c r="AU52" s="623"/>
      <c r="AV52" s="623"/>
      <c r="AW52" s="624"/>
      <c r="AX52" s="625" t="s">
        <v>57</v>
      </c>
      <c r="AY52" s="626" t="s">
        <v>56</v>
      </c>
      <c r="AZ52" s="627"/>
      <c r="BA52" s="627"/>
      <c r="BB52" s="628"/>
      <c r="BC52" s="617" t="s">
        <v>55</v>
      </c>
      <c r="BD52" s="612" t="s">
        <v>203</v>
      </c>
      <c r="BE52" s="146" t="s">
        <v>54</v>
      </c>
      <c r="BF52" s="612" t="s">
        <v>204</v>
      </c>
      <c r="BG52" s="614" t="s">
        <v>53</v>
      </c>
      <c r="BH52" s="163"/>
    </row>
    <row r="53" spans="1:60" s="14" customFormat="1" ht="48" customHeight="1">
      <c r="A53" s="620"/>
      <c r="B53" s="620"/>
      <c r="C53" s="94">
        <v>382101</v>
      </c>
      <c r="D53" s="94">
        <v>421100</v>
      </c>
      <c r="E53" s="94">
        <v>552110</v>
      </c>
      <c r="F53" s="94">
        <v>562917</v>
      </c>
      <c r="G53" s="94">
        <f>G3</f>
        <v>581400</v>
      </c>
      <c r="H53" s="94">
        <v>682001</v>
      </c>
      <c r="I53" s="94">
        <v>682002</v>
      </c>
      <c r="J53" s="94">
        <v>750000</v>
      </c>
      <c r="K53" s="94">
        <v>841112</v>
      </c>
      <c r="L53" s="94">
        <v>841116</v>
      </c>
      <c r="M53" s="94">
        <v>841126</v>
      </c>
      <c r="N53" s="94">
        <v>841133</v>
      </c>
      <c r="O53" s="94">
        <v>841191</v>
      </c>
      <c r="P53" s="94">
        <v>841402</v>
      </c>
      <c r="Q53" s="94">
        <v>841403</v>
      </c>
      <c r="R53" s="94">
        <v>841901</v>
      </c>
      <c r="S53" s="94">
        <v>841906</v>
      </c>
      <c r="T53" s="94">
        <v>841908</v>
      </c>
      <c r="U53" s="94">
        <v>854234</v>
      </c>
      <c r="V53" s="94">
        <v>869041</v>
      </c>
      <c r="W53" s="94">
        <v>882111</v>
      </c>
      <c r="X53" s="94">
        <v>882112</v>
      </c>
      <c r="Y53" s="94">
        <v>882113</v>
      </c>
      <c r="Z53" s="94">
        <v>882114</v>
      </c>
      <c r="AA53" s="94">
        <v>882115</v>
      </c>
      <c r="AB53" s="94">
        <v>882116</v>
      </c>
      <c r="AC53" s="94">
        <v>882117</v>
      </c>
      <c r="AD53" s="94">
        <v>882118</v>
      </c>
      <c r="AE53" s="94">
        <v>882119</v>
      </c>
      <c r="AF53" s="94">
        <v>882121</v>
      </c>
      <c r="AG53" s="94">
        <v>882122</v>
      </c>
      <c r="AH53" s="94">
        <v>882123</v>
      </c>
      <c r="AI53" s="94">
        <v>882124</v>
      </c>
      <c r="AJ53" s="94">
        <v>882125</v>
      </c>
      <c r="AK53" s="94">
        <v>882129</v>
      </c>
      <c r="AL53" s="94">
        <v>882202</v>
      </c>
      <c r="AM53" s="94">
        <v>882203</v>
      </c>
      <c r="AN53" s="94">
        <v>889921</v>
      </c>
      <c r="AO53" s="94">
        <v>889928</v>
      </c>
      <c r="AP53" s="94">
        <v>889969</v>
      </c>
      <c r="AQ53" s="94">
        <v>890301</v>
      </c>
      <c r="AR53" s="94">
        <v>890441</v>
      </c>
      <c r="AS53" s="94">
        <v>890442</v>
      </c>
      <c r="AT53" s="94">
        <f>AT3</f>
        <v>890443</v>
      </c>
      <c r="AU53" s="94">
        <v>910123</v>
      </c>
      <c r="AV53" s="94">
        <v>910502</v>
      </c>
      <c r="AW53" s="94">
        <v>960302</v>
      </c>
      <c r="AX53" s="618"/>
      <c r="AY53" s="95">
        <v>562912</v>
      </c>
      <c r="AZ53" s="95">
        <v>851000</v>
      </c>
      <c r="BA53" s="95">
        <v>851011</v>
      </c>
      <c r="BB53" s="95">
        <v>851012</v>
      </c>
      <c r="BC53" s="618"/>
      <c r="BD53" s="613"/>
      <c r="BE53" s="16">
        <v>841127</v>
      </c>
      <c r="BF53" s="613"/>
      <c r="BG53" s="615"/>
      <c r="BH53" s="163">
        <f>BG53-'[3]2011_ktgv_részletező_tábla'!BG53</f>
        <v>0</v>
      </c>
    </row>
    <row r="54" spans="1:60" s="14" customFormat="1" ht="47.25" customHeight="1">
      <c r="A54" s="621"/>
      <c r="B54" s="621"/>
      <c r="C54" s="96" t="s">
        <v>52</v>
      </c>
      <c r="D54" s="96" t="s">
        <v>51</v>
      </c>
      <c r="E54" s="96" t="s">
        <v>50</v>
      </c>
      <c r="F54" s="96" t="s">
        <v>49</v>
      </c>
      <c r="G54" s="96" t="str">
        <f>G4</f>
        <v>Folyóirat, időszaki kiadvány kiadása</v>
      </c>
      <c r="H54" s="96" t="s">
        <v>48</v>
      </c>
      <c r="I54" s="96" t="s">
        <v>47</v>
      </c>
      <c r="J54" s="96" t="s">
        <v>46</v>
      </c>
      <c r="K54" s="96" t="s">
        <v>45</v>
      </c>
      <c r="L54" s="96" t="s">
        <v>44</v>
      </c>
      <c r="M54" s="96" t="s">
        <v>43</v>
      </c>
      <c r="N54" s="96" t="s">
        <v>42</v>
      </c>
      <c r="O54" s="96" t="s">
        <v>41</v>
      </c>
      <c r="P54" s="96" t="s">
        <v>40</v>
      </c>
      <c r="Q54" s="96" t="s">
        <v>39</v>
      </c>
      <c r="R54" s="96" t="s">
        <v>38</v>
      </c>
      <c r="S54" s="96" t="s">
        <v>37</v>
      </c>
      <c r="T54" s="96" t="s">
        <v>36</v>
      </c>
      <c r="U54" s="96" t="s">
        <v>35</v>
      </c>
      <c r="V54" s="96" t="s">
        <v>34</v>
      </c>
      <c r="W54" s="96" t="s">
        <v>33</v>
      </c>
      <c r="X54" s="96" t="s">
        <v>32</v>
      </c>
      <c r="Y54" s="96" t="s">
        <v>31</v>
      </c>
      <c r="Z54" s="97" t="s">
        <v>30</v>
      </c>
      <c r="AA54" s="97" t="s">
        <v>29</v>
      </c>
      <c r="AB54" s="97" t="s">
        <v>28</v>
      </c>
      <c r="AC54" s="97" t="s">
        <v>27</v>
      </c>
      <c r="AD54" s="97" t="s">
        <v>26</v>
      </c>
      <c r="AE54" s="97" t="s">
        <v>25</v>
      </c>
      <c r="AF54" s="97" t="s">
        <v>24</v>
      </c>
      <c r="AG54" s="97" t="s">
        <v>23</v>
      </c>
      <c r="AH54" s="97" t="s">
        <v>22</v>
      </c>
      <c r="AI54" s="97" t="s">
        <v>21</v>
      </c>
      <c r="AJ54" s="97" t="s">
        <v>20</v>
      </c>
      <c r="AK54" s="97" t="s">
        <v>19</v>
      </c>
      <c r="AL54" s="97" t="s">
        <v>18</v>
      </c>
      <c r="AM54" s="97" t="s">
        <v>17</v>
      </c>
      <c r="AN54" s="97" t="s">
        <v>16</v>
      </c>
      <c r="AO54" s="97" t="s">
        <v>15</v>
      </c>
      <c r="AP54" s="97" t="s">
        <v>14</v>
      </c>
      <c r="AQ54" s="97" t="s">
        <v>13</v>
      </c>
      <c r="AR54" s="97" t="str">
        <f>AR4</f>
        <v>rövid időtartamú közfoglalkoz- tatás</v>
      </c>
      <c r="AS54" s="97" t="str">
        <f>AS4</f>
        <v>BPJ-re jog-ak hosszab időt-ú közfogl-a</v>
      </c>
      <c r="AT54" s="97" t="str">
        <f>AT4</f>
        <v>Egyéb közfoglal-koztatás</v>
      </c>
      <c r="AU54" s="97" t="s">
        <v>12</v>
      </c>
      <c r="AV54" s="97" t="s">
        <v>11</v>
      </c>
      <c r="AW54" s="97" t="s">
        <v>10</v>
      </c>
      <c r="AX54" s="619"/>
      <c r="AY54" s="96" t="s">
        <v>9</v>
      </c>
      <c r="AZ54" s="98" t="s">
        <v>8</v>
      </c>
      <c r="BA54" s="96" t="s">
        <v>7</v>
      </c>
      <c r="BB54" s="96" t="s">
        <v>6</v>
      </c>
      <c r="BC54" s="619"/>
      <c r="BD54" s="613"/>
      <c r="BE54" s="15" t="s">
        <v>5</v>
      </c>
      <c r="BF54" s="613"/>
      <c r="BG54" s="616"/>
      <c r="BH54" s="163">
        <f>BG54-'[3]2011_ktgv_részletező_tábla'!BG54</f>
        <v>0</v>
      </c>
    </row>
    <row r="55" spans="1:60" s="7" customFormat="1" ht="12" customHeight="1">
      <c r="A55" s="131">
        <v>1</v>
      </c>
      <c r="B55" s="108" t="s">
        <v>4</v>
      </c>
      <c r="C55" s="92">
        <f>C56+C57+C58+C60+C61</f>
        <v>6676</v>
      </c>
      <c r="D55" s="92">
        <f aca="true" t="shared" si="19" ref="D55:BG55">D56+D57+D58+D60+D61</f>
        <v>0</v>
      </c>
      <c r="E55" s="92">
        <f t="shared" si="19"/>
        <v>600</v>
      </c>
      <c r="F55" s="92">
        <f t="shared" si="19"/>
        <v>35882</v>
      </c>
      <c r="G55" s="92">
        <f t="shared" si="19"/>
        <v>314</v>
      </c>
      <c r="H55" s="92">
        <f t="shared" si="19"/>
        <v>464</v>
      </c>
      <c r="I55" s="92">
        <f t="shared" si="19"/>
        <v>240</v>
      </c>
      <c r="J55" s="92">
        <f t="shared" si="19"/>
        <v>200</v>
      </c>
      <c r="K55" s="92">
        <f t="shared" si="19"/>
        <v>13936</v>
      </c>
      <c r="L55" s="92">
        <f t="shared" si="19"/>
        <v>21</v>
      </c>
      <c r="M55" s="92">
        <f t="shared" si="19"/>
        <v>109984</v>
      </c>
      <c r="N55" s="92">
        <f t="shared" si="19"/>
        <v>6165</v>
      </c>
      <c r="O55" s="92">
        <f t="shared" si="19"/>
        <v>200</v>
      </c>
      <c r="P55" s="92">
        <f t="shared" si="19"/>
        <v>10760</v>
      </c>
      <c r="Q55" s="92">
        <f t="shared" si="19"/>
        <v>4132</v>
      </c>
      <c r="R55" s="92">
        <f t="shared" si="19"/>
        <v>0</v>
      </c>
      <c r="S55" s="92">
        <f t="shared" si="19"/>
        <v>0</v>
      </c>
      <c r="T55" s="92">
        <f t="shared" si="19"/>
        <v>0</v>
      </c>
      <c r="U55" s="92">
        <f t="shared" si="19"/>
        <v>195</v>
      </c>
      <c r="V55" s="92">
        <f t="shared" si="19"/>
        <v>6204</v>
      </c>
      <c r="W55" s="92">
        <f t="shared" si="19"/>
        <v>15776</v>
      </c>
      <c r="X55" s="92">
        <f t="shared" si="19"/>
        <v>1214</v>
      </c>
      <c r="Y55" s="92">
        <f t="shared" si="19"/>
        <v>2880</v>
      </c>
      <c r="Z55" s="92">
        <f t="shared" si="19"/>
        <v>0</v>
      </c>
      <c r="AA55" s="92">
        <f t="shared" si="19"/>
        <v>5725</v>
      </c>
      <c r="AB55" s="92">
        <f t="shared" si="19"/>
        <v>878</v>
      </c>
      <c r="AC55" s="92">
        <f t="shared" si="19"/>
        <v>2162</v>
      </c>
      <c r="AD55" s="92">
        <f t="shared" si="19"/>
        <v>0</v>
      </c>
      <c r="AE55" s="92">
        <f t="shared" si="19"/>
        <v>0</v>
      </c>
      <c r="AF55" s="92">
        <f t="shared" si="19"/>
        <v>0</v>
      </c>
      <c r="AG55" s="92">
        <f t="shared" si="19"/>
        <v>500</v>
      </c>
      <c r="AH55" s="92">
        <f t="shared" si="19"/>
        <v>195</v>
      </c>
      <c r="AI55" s="92">
        <f t="shared" si="19"/>
        <v>400</v>
      </c>
      <c r="AJ55" s="92">
        <f t="shared" si="19"/>
        <v>207</v>
      </c>
      <c r="AK55" s="92">
        <f t="shared" si="19"/>
        <v>593</v>
      </c>
      <c r="AL55" s="92">
        <f t="shared" si="19"/>
        <v>223</v>
      </c>
      <c r="AM55" s="92">
        <f t="shared" si="19"/>
        <v>473</v>
      </c>
      <c r="AN55" s="92">
        <f t="shared" si="19"/>
        <v>2750</v>
      </c>
      <c r="AO55" s="92">
        <f t="shared" si="19"/>
        <v>3949</v>
      </c>
      <c r="AP55" s="92">
        <f t="shared" si="19"/>
        <v>390</v>
      </c>
      <c r="AQ55" s="92">
        <f t="shared" si="19"/>
        <v>0</v>
      </c>
      <c r="AR55" s="92">
        <f t="shared" si="19"/>
        <v>5903</v>
      </c>
      <c r="AS55" s="92">
        <f t="shared" si="19"/>
        <v>1194</v>
      </c>
      <c r="AT55" s="92">
        <f t="shared" si="19"/>
        <v>1587</v>
      </c>
      <c r="AU55" s="92">
        <f t="shared" si="19"/>
        <v>901</v>
      </c>
      <c r="AV55" s="92">
        <f t="shared" si="19"/>
        <v>6842</v>
      </c>
      <c r="AW55" s="92">
        <f t="shared" si="19"/>
        <v>64</v>
      </c>
      <c r="AX55" s="92">
        <f>SUM(C55:AW55)</f>
        <v>250779</v>
      </c>
      <c r="AY55" s="92">
        <f>AY56+AY57+AY58+AY60+AY61</f>
        <v>0</v>
      </c>
      <c r="AZ55" s="92">
        <f>AZ56+AZ57+AZ58+AZ60+AZ61</f>
        <v>3555</v>
      </c>
      <c r="BA55" s="92">
        <f>BA56+BA57+BA58+BA60+BA61</f>
        <v>49466</v>
      </c>
      <c r="BB55" s="92">
        <f>BB56+BB57+BB58+BB60+BB61</f>
        <v>1341</v>
      </c>
      <c r="BC55" s="92">
        <f aca="true" t="shared" si="20" ref="BC55:BC68">SUM(AY55:BB55)</f>
        <v>54362</v>
      </c>
      <c r="BD55" s="92">
        <f t="shared" si="19"/>
        <v>305141</v>
      </c>
      <c r="BE55" s="92">
        <f>BE56+BE57+BE58+BE60+BE61</f>
        <v>299</v>
      </c>
      <c r="BF55" s="92">
        <f t="shared" si="19"/>
        <v>299</v>
      </c>
      <c r="BG55" s="92">
        <f t="shared" si="19"/>
        <v>305440</v>
      </c>
      <c r="BH55" s="163">
        <f>BG55-'[3]2011_ktgv_részletező_tábla'!BG55</f>
        <v>35209.01744484302</v>
      </c>
    </row>
    <row r="56" spans="1:60" s="7" customFormat="1" ht="12.75">
      <c r="A56" s="132"/>
      <c r="B56" s="133" t="s">
        <v>174</v>
      </c>
      <c r="C56" s="13">
        <f>470-470</f>
        <v>0</v>
      </c>
      <c r="D56" s="13"/>
      <c r="E56" s="13"/>
      <c r="F56" s="13">
        <f>8739+47+1351</f>
        <v>10137</v>
      </c>
      <c r="G56" s="13"/>
      <c r="H56" s="13"/>
      <c r="I56" s="13"/>
      <c r="J56" s="13"/>
      <c r="K56" s="13">
        <v>10131</v>
      </c>
      <c r="L56" s="13">
        <v>15</v>
      </c>
      <c r="M56" s="13">
        <f>30149+124</f>
        <v>30273</v>
      </c>
      <c r="N56" s="13">
        <f>3547+27</f>
        <v>3574</v>
      </c>
      <c r="O56" s="13"/>
      <c r="P56" s="13"/>
      <c r="Q56" s="13">
        <f>2418+20-780</f>
        <v>1658</v>
      </c>
      <c r="R56" s="13"/>
      <c r="S56" s="13"/>
      <c r="T56" s="13"/>
      <c r="U56" s="13"/>
      <c r="V56" s="13">
        <f>3416+20</f>
        <v>3436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>
        <v>400</v>
      </c>
      <c r="AO56" s="13">
        <f>2014+12</f>
        <v>2026</v>
      </c>
      <c r="AP56" s="13"/>
      <c r="AQ56" s="13"/>
      <c r="AR56" s="13">
        <f>2114+2730</f>
        <v>4844</v>
      </c>
      <c r="AS56" s="13">
        <f>3670-2730</f>
        <v>940</v>
      </c>
      <c r="AT56" s="13">
        <f>470+780</f>
        <v>1250</v>
      </c>
      <c r="AU56" s="13">
        <v>331</v>
      </c>
      <c r="AV56" s="13">
        <f>3452+19</f>
        <v>3471</v>
      </c>
      <c r="AW56" s="13"/>
      <c r="AX56" s="128">
        <f>SUM(C56:AW56)</f>
        <v>72486</v>
      </c>
      <c r="AY56" s="13"/>
      <c r="AZ56" s="13">
        <v>1967</v>
      </c>
      <c r="BA56" s="13">
        <f>34423+127</f>
        <v>34550</v>
      </c>
      <c r="BB56" s="13">
        <v>1057</v>
      </c>
      <c r="BC56" s="128">
        <f t="shared" si="20"/>
        <v>37574</v>
      </c>
      <c r="BD56" s="151">
        <f aca="true" t="shared" si="21" ref="BD56:BD68">AX56+BC56</f>
        <v>110060</v>
      </c>
      <c r="BE56" s="13"/>
      <c r="BF56" s="151">
        <f aca="true" t="shared" si="22" ref="BF56:BF65">BE56</f>
        <v>0</v>
      </c>
      <c r="BG56" s="8">
        <f aca="true" t="shared" si="23" ref="BG56:BG65">BD56+BF56</f>
        <v>110060</v>
      </c>
      <c r="BH56" s="163">
        <f>BG56-'[3]2011_ktgv_részletező_tábla'!BG56</f>
        <v>2145.928673607268</v>
      </c>
    </row>
    <row r="57" spans="1:60" s="7" customFormat="1" ht="12.75">
      <c r="A57" s="134"/>
      <c r="B57" s="133" t="s">
        <v>175</v>
      </c>
      <c r="C57" s="13">
        <f>127-127</f>
        <v>0</v>
      </c>
      <c r="D57" s="13"/>
      <c r="E57" s="13"/>
      <c r="F57" s="13">
        <f>2286+13+239</f>
        <v>2538</v>
      </c>
      <c r="G57" s="13"/>
      <c r="H57" s="13"/>
      <c r="I57" s="13"/>
      <c r="J57" s="13"/>
      <c r="K57" s="13">
        <v>2722</v>
      </c>
      <c r="L57" s="13">
        <v>4</v>
      </c>
      <c r="M57" s="13">
        <f>8010+33</f>
        <v>8043</v>
      </c>
      <c r="N57" s="13">
        <f>944+7</f>
        <v>951</v>
      </c>
      <c r="O57" s="13"/>
      <c r="P57" s="13"/>
      <c r="Q57" s="13">
        <f>639+4-210</f>
        <v>433</v>
      </c>
      <c r="R57" s="13"/>
      <c r="S57" s="13"/>
      <c r="T57" s="13"/>
      <c r="U57" s="13"/>
      <c r="V57" s="13">
        <f>899+5</f>
        <v>904</v>
      </c>
      <c r="W57" s="13"/>
      <c r="X57" s="13"/>
      <c r="Y57" s="13"/>
      <c r="Z57" s="13"/>
      <c r="AA57" s="13">
        <v>1108</v>
      </c>
      <c r="AB57" s="13">
        <v>170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>
        <v>108</v>
      </c>
      <c r="AO57" s="13">
        <f>530+3</f>
        <v>533</v>
      </c>
      <c r="AP57" s="13"/>
      <c r="AQ57" s="13"/>
      <c r="AR57" s="13">
        <f>349+710</f>
        <v>1059</v>
      </c>
      <c r="AS57" s="13">
        <f>964-710</f>
        <v>254</v>
      </c>
      <c r="AT57" s="13">
        <f>210+127</f>
        <v>337</v>
      </c>
      <c r="AU57" s="13">
        <v>87</v>
      </c>
      <c r="AV57" s="13">
        <f>905+5</f>
        <v>910</v>
      </c>
      <c r="AW57" s="13"/>
      <c r="AX57" s="128">
        <f aca="true" t="shared" si="24" ref="AX57:AX68">SUM(C57:AW57)</f>
        <v>20161</v>
      </c>
      <c r="AY57" s="13"/>
      <c r="AZ57" s="13">
        <v>458</v>
      </c>
      <c r="BA57" s="13">
        <f>9476+34</f>
        <v>9510</v>
      </c>
      <c r="BB57" s="13">
        <v>279</v>
      </c>
      <c r="BC57" s="128">
        <f t="shared" si="20"/>
        <v>10247</v>
      </c>
      <c r="BD57" s="151">
        <f t="shared" si="21"/>
        <v>30408</v>
      </c>
      <c r="BE57" s="13">
        <v>11</v>
      </c>
      <c r="BF57" s="151">
        <f t="shared" si="22"/>
        <v>11</v>
      </c>
      <c r="BG57" s="8">
        <f t="shared" si="23"/>
        <v>30419</v>
      </c>
      <c r="BH57" s="163">
        <f>BG57-'[3]2011_ktgv_részletező_tábla'!BG57</f>
        <v>451.285633947984</v>
      </c>
    </row>
    <row r="58" spans="1:60" s="7" customFormat="1" ht="12.75">
      <c r="A58" s="134"/>
      <c r="B58" s="133" t="s">
        <v>176</v>
      </c>
      <c r="C58" s="13">
        <f>6176+500</f>
        <v>6676</v>
      </c>
      <c r="D58" s="13"/>
      <c r="E58" s="13">
        <v>600</v>
      </c>
      <c r="F58" s="13">
        <f>21407+374+926+500</f>
        <v>23207</v>
      </c>
      <c r="G58" s="13">
        <v>314</v>
      </c>
      <c r="H58" s="13">
        <v>464</v>
      </c>
      <c r="I58" s="13">
        <v>240</v>
      </c>
      <c r="J58" s="13">
        <v>200</v>
      </c>
      <c r="K58" s="13">
        <v>483</v>
      </c>
      <c r="L58" s="13">
        <v>2</v>
      </c>
      <c r="M58" s="13">
        <f>30037+377-225+27504+150+618+350+135</f>
        <v>58946</v>
      </c>
      <c r="N58" s="13">
        <f>890+750</f>
        <v>1640</v>
      </c>
      <c r="O58" s="13">
        <v>200</v>
      </c>
      <c r="P58" s="13">
        <v>10760</v>
      </c>
      <c r="Q58" s="13">
        <f>2036+5</f>
        <v>2041</v>
      </c>
      <c r="R58" s="13"/>
      <c r="S58" s="13"/>
      <c r="T58" s="13"/>
      <c r="U58" s="13"/>
      <c r="V58" s="13">
        <f>1859+5</f>
        <v>1864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>
        <v>1390</v>
      </c>
      <c r="AP58" s="13"/>
      <c r="AQ58" s="13"/>
      <c r="AR58" s="13"/>
      <c r="AS58" s="13"/>
      <c r="AT58" s="13"/>
      <c r="AU58" s="13">
        <f>360+123</f>
        <v>483</v>
      </c>
      <c r="AV58" s="13">
        <f>2861-400</f>
        <v>2461</v>
      </c>
      <c r="AW58" s="13">
        <v>64</v>
      </c>
      <c r="AX58" s="128">
        <f t="shared" si="24"/>
        <v>112035</v>
      </c>
      <c r="AY58" s="13"/>
      <c r="AZ58" s="13">
        <v>1130</v>
      </c>
      <c r="BA58" s="13">
        <v>5406</v>
      </c>
      <c r="BB58" s="13">
        <v>5</v>
      </c>
      <c r="BC58" s="128">
        <f t="shared" si="20"/>
        <v>6541</v>
      </c>
      <c r="BD58" s="151">
        <f t="shared" si="21"/>
        <v>118576</v>
      </c>
      <c r="BE58" s="13">
        <v>284</v>
      </c>
      <c r="BF58" s="151">
        <f t="shared" si="22"/>
        <v>284</v>
      </c>
      <c r="BG58" s="8">
        <f t="shared" si="23"/>
        <v>118860</v>
      </c>
      <c r="BH58" s="163">
        <f>BG58-'[3]2011_ktgv_részletező_tábla'!BG58</f>
        <v>32006.618000000002</v>
      </c>
    </row>
    <row r="59" spans="1:60" s="7" customFormat="1" ht="12.75">
      <c r="A59" s="134"/>
      <c r="B59" s="133" t="s">
        <v>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>
        <v>7060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28">
        <f t="shared" si="24"/>
        <v>7060</v>
      </c>
      <c r="AY59" s="13"/>
      <c r="AZ59" s="13"/>
      <c r="BA59" s="13"/>
      <c r="BB59" s="13"/>
      <c r="BC59" s="128">
        <f t="shared" si="20"/>
        <v>0</v>
      </c>
      <c r="BD59" s="151">
        <f t="shared" si="21"/>
        <v>7060</v>
      </c>
      <c r="BE59" s="13"/>
      <c r="BF59" s="151">
        <f t="shared" si="22"/>
        <v>0</v>
      </c>
      <c r="BG59" s="8">
        <f t="shared" si="23"/>
        <v>7060</v>
      </c>
      <c r="BH59" s="163">
        <f>BG59-'[3]2011_ktgv_részletező_tábla'!BG59</f>
        <v>0</v>
      </c>
    </row>
    <row r="60" spans="1:60" s="7" customFormat="1" ht="12.75">
      <c r="A60" s="134"/>
      <c r="B60" s="133" t="s">
        <v>177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>
        <v>15776</v>
      </c>
      <c r="X60" s="13">
        <v>1214</v>
      </c>
      <c r="Y60" s="13">
        <v>2880</v>
      </c>
      <c r="Z60" s="13"/>
      <c r="AA60" s="13">
        <v>4617</v>
      </c>
      <c r="AB60" s="13">
        <v>708</v>
      </c>
      <c r="AC60" s="13">
        <v>2162</v>
      </c>
      <c r="AD60" s="13"/>
      <c r="AE60" s="13"/>
      <c r="AF60" s="13"/>
      <c r="AG60" s="13">
        <v>500</v>
      </c>
      <c r="AH60" s="13">
        <v>195</v>
      </c>
      <c r="AI60" s="13">
        <v>400</v>
      </c>
      <c r="AJ60" s="13">
        <v>207</v>
      </c>
      <c r="AK60" s="13">
        <v>593</v>
      </c>
      <c r="AL60" s="13">
        <v>223</v>
      </c>
      <c r="AM60" s="13">
        <f>400+73</f>
        <v>473</v>
      </c>
      <c r="AN60" s="13">
        <v>2242</v>
      </c>
      <c r="AO60" s="13"/>
      <c r="AP60" s="13">
        <v>390</v>
      </c>
      <c r="AQ60" s="13"/>
      <c r="AR60" s="13"/>
      <c r="AS60" s="13"/>
      <c r="AT60" s="13"/>
      <c r="AU60" s="13"/>
      <c r="AV60" s="13"/>
      <c r="AW60" s="13"/>
      <c r="AX60" s="128">
        <f t="shared" si="24"/>
        <v>32580</v>
      </c>
      <c r="AY60" s="13"/>
      <c r="AZ60" s="13"/>
      <c r="BA60" s="13"/>
      <c r="BB60" s="13"/>
      <c r="BC60" s="128">
        <f t="shared" si="20"/>
        <v>0</v>
      </c>
      <c r="BD60" s="151">
        <f t="shared" si="21"/>
        <v>32580</v>
      </c>
      <c r="BE60" s="13"/>
      <c r="BF60" s="151">
        <f t="shared" si="22"/>
        <v>0</v>
      </c>
      <c r="BG60" s="8">
        <f t="shared" si="23"/>
        <v>32580</v>
      </c>
      <c r="BH60" s="163">
        <f>BG60-'[3]2011_ktgv_részletező_tábla'!BG60</f>
        <v>73.27000000000044</v>
      </c>
    </row>
    <row r="61" spans="1:60" s="12" customFormat="1" ht="12.75">
      <c r="A61" s="135"/>
      <c r="B61" s="136" t="s">
        <v>178</v>
      </c>
      <c r="C61" s="13"/>
      <c r="D61" s="13"/>
      <c r="E61" s="13"/>
      <c r="F61" s="13"/>
      <c r="G61" s="13"/>
      <c r="H61" s="13"/>
      <c r="I61" s="13"/>
      <c r="J61" s="13"/>
      <c r="K61" s="13">
        <v>600</v>
      </c>
      <c r="L61" s="13"/>
      <c r="M61" s="13">
        <f>12190+84+198+250</f>
        <v>12722</v>
      </c>
      <c r="N61" s="13"/>
      <c r="O61" s="13"/>
      <c r="P61" s="13"/>
      <c r="Q61" s="13"/>
      <c r="R61" s="13"/>
      <c r="S61" s="13"/>
      <c r="T61" s="13"/>
      <c r="U61" s="13">
        <v>195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28">
        <f t="shared" si="24"/>
        <v>13517</v>
      </c>
      <c r="AY61" s="13"/>
      <c r="AZ61" s="13"/>
      <c r="BA61" s="13"/>
      <c r="BB61" s="13"/>
      <c r="BC61" s="128">
        <f t="shared" si="20"/>
        <v>0</v>
      </c>
      <c r="BD61" s="151">
        <f t="shared" si="21"/>
        <v>13517</v>
      </c>
      <c r="BE61" s="13">
        <v>4</v>
      </c>
      <c r="BF61" s="151">
        <f t="shared" si="22"/>
        <v>4</v>
      </c>
      <c r="BG61" s="8">
        <f t="shared" si="23"/>
        <v>13521</v>
      </c>
      <c r="BH61" s="163">
        <f>BG61-'[3]2011_ktgv_részletező_tábla'!BG61</f>
        <v>531.9151372877986</v>
      </c>
    </row>
    <row r="62" spans="1:60" s="12" customFormat="1" ht="12" customHeight="1">
      <c r="A62" s="137">
        <v>2</v>
      </c>
      <c r="B62" s="108" t="s">
        <v>2</v>
      </c>
      <c r="C62" s="92">
        <f>SUM(C63:C65)</f>
        <v>0</v>
      </c>
      <c r="D62" s="92">
        <f aca="true" t="shared" si="25" ref="D62:AW62">SUM(D63:D65)</f>
        <v>2450</v>
      </c>
      <c r="E62" s="92">
        <f t="shared" si="25"/>
        <v>0</v>
      </c>
      <c r="F62" s="92">
        <f t="shared" si="25"/>
        <v>200</v>
      </c>
      <c r="G62" s="92">
        <f t="shared" si="25"/>
        <v>0</v>
      </c>
      <c r="H62" s="92">
        <f t="shared" si="25"/>
        <v>0</v>
      </c>
      <c r="I62" s="92">
        <f t="shared" si="25"/>
        <v>0</v>
      </c>
      <c r="J62" s="92">
        <f t="shared" si="25"/>
        <v>0</v>
      </c>
      <c r="K62" s="92">
        <f t="shared" si="25"/>
        <v>0</v>
      </c>
      <c r="L62" s="92">
        <f t="shared" si="25"/>
        <v>0</v>
      </c>
      <c r="M62" s="92">
        <f t="shared" si="25"/>
        <v>139495</v>
      </c>
      <c r="N62" s="92">
        <f t="shared" si="25"/>
        <v>0</v>
      </c>
      <c r="O62" s="92">
        <f t="shared" si="25"/>
        <v>0</v>
      </c>
      <c r="P62" s="92">
        <f t="shared" si="25"/>
        <v>900</v>
      </c>
      <c r="Q62" s="92">
        <f t="shared" si="25"/>
        <v>2964</v>
      </c>
      <c r="R62" s="92">
        <f t="shared" si="25"/>
        <v>0</v>
      </c>
      <c r="S62" s="92">
        <f t="shared" si="25"/>
        <v>0</v>
      </c>
      <c r="T62" s="92">
        <f t="shared" si="25"/>
        <v>0</v>
      </c>
      <c r="U62" s="92">
        <f t="shared" si="25"/>
        <v>0</v>
      </c>
      <c r="V62" s="92">
        <f t="shared" si="25"/>
        <v>0</v>
      </c>
      <c r="W62" s="92">
        <f t="shared" si="25"/>
        <v>0</v>
      </c>
      <c r="X62" s="92">
        <f t="shared" si="25"/>
        <v>0</v>
      </c>
      <c r="Y62" s="92">
        <f t="shared" si="25"/>
        <v>0</v>
      </c>
      <c r="Z62" s="92">
        <f t="shared" si="25"/>
        <v>0</v>
      </c>
      <c r="AA62" s="92">
        <f t="shared" si="25"/>
        <v>0</v>
      </c>
      <c r="AB62" s="92">
        <f t="shared" si="25"/>
        <v>0</v>
      </c>
      <c r="AC62" s="92">
        <f t="shared" si="25"/>
        <v>0</v>
      </c>
      <c r="AD62" s="92">
        <f t="shared" si="25"/>
        <v>0</v>
      </c>
      <c r="AE62" s="92">
        <f t="shared" si="25"/>
        <v>0</v>
      </c>
      <c r="AF62" s="92">
        <f t="shared" si="25"/>
        <v>0</v>
      </c>
      <c r="AG62" s="92">
        <f t="shared" si="25"/>
        <v>0</v>
      </c>
      <c r="AH62" s="92">
        <f t="shared" si="25"/>
        <v>0</v>
      </c>
      <c r="AI62" s="92">
        <f t="shared" si="25"/>
        <v>0</v>
      </c>
      <c r="AJ62" s="92">
        <f t="shared" si="25"/>
        <v>0</v>
      </c>
      <c r="AK62" s="92">
        <f t="shared" si="25"/>
        <v>0</v>
      </c>
      <c r="AL62" s="92">
        <f t="shared" si="25"/>
        <v>0</v>
      </c>
      <c r="AM62" s="92">
        <f t="shared" si="25"/>
        <v>0</v>
      </c>
      <c r="AN62" s="92">
        <f t="shared" si="25"/>
        <v>0</v>
      </c>
      <c r="AO62" s="92">
        <f t="shared" si="25"/>
        <v>0</v>
      </c>
      <c r="AP62" s="92">
        <f t="shared" si="25"/>
        <v>0</v>
      </c>
      <c r="AQ62" s="92">
        <f t="shared" si="25"/>
        <v>0</v>
      </c>
      <c r="AR62" s="92">
        <f t="shared" si="25"/>
        <v>0</v>
      </c>
      <c r="AS62" s="92">
        <f t="shared" si="25"/>
        <v>0</v>
      </c>
      <c r="AT62" s="92">
        <f t="shared" si="25"/>
        <v>0</v>
      </c>
      <c r="AU62" s="92">
        <f t="shared" si="25"/>
        <v>0</v>
      </c>
      <c r="AV62" s="92">
        <f t="shared" si="25"/>
        <v>100</v>
      </c>
      <c r="AW62" s="92">
        <f t="shared" si="25"/>
        <v>600</v>
      </c>
      <c r="AX62" s="92">
        <f>SUM(C62:AW62)</f>
        <v>146709</v>
      </c>
      <c r="AY62" s="92">
        <f>SUM(AY63:AY65)</f>
        <v>0</v>
      </c>
      <c r="AZ62" s="92">
        <f>SUM(AZ63:AZ65)</f>
        <v>0</v>
      </c>
      <c r="BA62" s="92">
        <f>SUM(BA63:BA65)</f>
        <v>0</v>
      </c>
      <c r="BB62" s="92">
        <f>SUM(BB63:BB65)</f>
        <v>0</v>
      </c>
      <c r="BC62" s="92">
        <f t="shared" si="20"/>
        <v>0</v>
      </c>
      <c r="BD62" s="150">
        <f>SUM(BD63:BD65)</f>
        <v>146709</v>
      </c>
      <c r="BE62" s="92">
        <f>SUM(BE63:BE65)</f>
        <v>0</v>
      </c>
      <c r="BF62" s="150">
        <f>SUM(BF63:BF65)</f>
        <v>0</v>
      </c>
      <c r="BG62" s="150">
        <f>SUM(BG63:BG65)</f>
        <v>146709</v>
      </c>
      <c r="BH62" s="163">
        <f>BG62-'[3]2011_ktgv_részletező_tábla'!BG62</f>
        <v>9554.207568643906</v>
      </c>
    </row>
    <row r="63" spans="1:60" s="7" customFormat="1" ht="12.75">
      <c r="A63" s="132"/>
      <c r="B63" s="133" t="s">
        <v>179</v>
      </c>
      <c r="C63" s="13"/>
      <c r="D63" s="13">
        <v>2450</v>
      </c>
      <c r="E63" s="13"/>
      <c r="F63" s="13">
        <f>500-500+200</f>
        <v>200</v>
      </c>
      <c r="G63" s="13"/>
      <c r="H63" s="13"/>
      <c r="I63" s="13"/>
      <c r="J63" s="13"/>
      <c r="K63" s="13"/>
      <c r="L63" s="13"/>
      <c r="M63" s="13">
        <f>121223+1004+5329+800-900</f>
        <v>127456</v>
      </c>
      <c r="N63" s="13"/>
      <c r="O63" s="13"/>
      <c r="P63" s="13">
        <v>900</v>
      </c>
      <c r="Q63" s="13">
        <v>500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>
        <v>100</v>
      </c>
      <c r="AW63" s="13"/>
      <c r="AX63" s="128">
        <f t="shared" si="24"/>
        <v>131606</v>
      </c>
      <c r="AY63" s="13"/>
      <c r="AZ63" s="13"/>
      <c r="BA63" s="13"/>
      <c r="BB63" s="13"/>
      <c r="BC63" s="128">
        <f t="shared" si="20"/>
        <v>0</v>
      </c>
      <c r="BD63" s="151">
        <f t="shared" si="21"/>
        <v>131606</v>
      </c>
      <c r="BE63" s="13"/>
      <c r="BF63" s="151">
        <f t="shared" si="22"/>
        <v>0</v>
      </c>
      <c r="BG63" s="8">
        <f t="shared" si="23"/>
        <v>131606</v>
      </c>
      <c r="BH63" s="163">
        <f>BG63-'[3]2011_ktgv_részletező_tábla'!BG63</f>
        <v>6832.75</v>
      </c>
    </row>
    <row r="64" spans="1:60" s="7" customFormat="1" ht="12.75">
      <c r="A64" s="134"/>
      <c r="B64" s="133" t="s">
        <v>180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>
        <f>6621+3497-776-2464</f>
        <v>6878</v>
      </c>
      <c r="N64" s="13"/>
      <c r="O64" s="13"/>
      <c r="P64" s="13"/>
      <c r="Q64" s="13">
        <v>2464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>
        <v>600</v>
      </c>
      <c r="AX64" s="128">
        <f t="shared" si="24"/>
        <v>9942</v>
      </c>
      <c r="AY64" s="13"/>
      <c r="AZ64" s="13"/>
      <c r="BA64" s="13"/>
      <c r="BB64" s="13"/>
      <c r="BC64" s="128">
        <f t="shared" si="20"/>
        <v>0</v>
      </c>
      <c r="BD64" s="151">
        <f t="shared" si="21"/>
        <v>9942</v>
      </c>
      <c r="BE64" s="13"/>
      <c r="BF64" s="151">
        <f t="shared" si="22"/>
        <v>0</v>
      </c>
      <c r="BG64" s="8">
        <f t="shared" si="23"/>
        <v>9942</v>
      </c>
      <c r="BH64" s="163">
        <f>BG64-'[3]2011_ktgv_részletező_tábla'!BG64</f>
        <v>2721</v>
      </c>
    </row>
    <row r="65" spans="1:60" s="7" customFormat="1" ht="12.75">
      <c r="A65" s="134"/>
      <c r="B65" s="133" t="s">
        <v>181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>
        <v>5161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28">
        <f t="shared" si="24"/>
        <v>5161</v>
      </c>
      <c r="AY65" s="13"/>
      <c r="AZ65" s="13"/>
      <c r="BA65" s="13"/>
      <c r="BB65" s="13"/>
      <c r="BC65" s="128">
        <f t="shared" si="20"/>
        <v>0</v>
      </c>
      <c r="BD65" s="151">
        <f t="shared" si="21"/>
        <v>5161</v>
      </c>
      <c r="BE65" s="13"/>
      <c r="BF65" s="151">
        <f t="shared" si="22"/>
        <v>0</v>
      </c>
      <c r="BG65" s="8">
        <f t="shared" si="23"/>
        <v>5161</v>
      </c>
      <c r="BH65" s="163">
        <f>BG65-'[3]2011_ktgv_részletező_tábla'!BG65</f>
        <v>0.4575686438993216</v>
      </c>
    </row>
    <row r="66" spans="1:60" s="7" customFormat="1" ht="12" customHeight="1">
      <c r="A66" s="131">
        <v>3</v>
      </c>
      <c r="B66" s="108" t="s">
        <v>197</v>
      </c>
      <c r="C66" s="31">
        <f>SUM(C67:C68)</f>
        <v>0</v>
      </c>
      <c r="D66" s="31">
        <f aca="true" t="shared" si="26" ref="D66:AW66">SUM(D67:D68)</f>
        <v>0</v>
      </c>
      <c r="E66" s="31">
        <f t="shared" si="26"/>
        <v>0</v>
      </c>
      <c r="F66" s="31">
        <f t="shared" si="26"/>
        <v>0</v>
      </c>
      <c r="G66" s="31"/>
      <c r="H66" s="31">
        <f t="shared" si="26"/>
        <v>0</v>
      </c>
      <c r="I66" s="31">
        <f t="shared" si="26"/>
        <v>0</v>
      </c>
      <c r="J66" s="31">
        <f t="shared" si="26"/>
        <v>0</v>
      </c>
      <c r="K66" s="31">
        <f t="shared" si="26"/>
        <v>0</v>
      </c>
      <c r="L66" s="31">
        <f t="shared" si="26"/>
        <v>0</v>
      </c>
      <c r="M66" s="31">
        <f t="shared" si="26"/>
        <v>0</v>
      </c>
      <c r="N66" s="31">
        <f t="shared" si="26"/>
        <v>0</v>
      </c>
      <c r="O66" s="31">
        <f t="shared" si="26"/>
        <v>0</v>
      </c>
      <c r="P66" s="31">
        <f t="shared" si="26"/>
        <v>0</v>
      </c>
      <c r="Q66" s="31">
        <f t="shared" si="26"/>
        <v>0</v>
      </c>
      <c r="R66" s="31">
        <f t="shared" si="26"/>
        <v>0</v>
      </c>
      <c r="S66" s="31">
        <f t="shared" si="26"/>
        <v>0</v>
      </c>
      <c r="T66" s="31">
        <f t="shared" si="26"/>
        <v>19394</v>
      </c>
      <c r="U66" s="31">
        <f t="shared" si="26"/>
        <v>0</v>
      </c>
      <c r="V66" s="31">
        <f t="shared" si="26"/>
        <v>0</v>
      </c>
      <c r="W66" s="31">
        <f t="shared" si="26"/>
        <v>0</v>
      </c>
      <c r="X66" s="31">
        <f t="shared" si="26"/>
        <v>0</v>
      </c>
      <c r="Y66" s="31">
        <f t="shared" si="26"/>
        <v>0</v>
      </c>
      <c r="Z66" s="31">
        <f t="shared" si="26"/>
        <v>0</v>
      </c>
      <c r="AA66" s="31">
        <f t="shared" si="26"/>
        <v>0</v>
      </c>
      <c r="AB66" s="31">
        <f t="shared" si="26"/>
        <v>0</v>
      </c>
      <c r="AC66" s="31">
        <f t="shared" si="26"/>
        <v>0</v>
      </c>
      <c r="AD66" s="31">
        <f t="shared" si="26"/>
        <v>0</v>
      </c>
      <c r="AE66" s="31">
        <f t="shared" si="26"/>
        <v>0</v>
      </c>
      <c r="AF66" s="31">
        <f t="shared" si="26"/>
        <v>0</v>
      </c>
      <c r="AG66" s="31">
        <f t="shared" si="26"/>
        <v>0</v>
      </c>
      <c r="AH66" s="31">
        <f t="shared" si="26"/>
        <v>0</v>
      </c>
      <c r="AI66" s="31">
        <f t="shared" si="26"/>
        <v>0</v>
      </c>
      <c r="AJ66" s="31">
        <f t="shared" si="26"/>
        <v>0</v>
      </c>
      <c r="AK66" s="31">
        <f t="shared" si="26"/>
        <v>0</v>
      </c>
      <c r="AL66" s="31">
        <f t="shared" si="26"/>
        <v>0</v>
      </c>
      <c r="AM66" s="31">
        <f t="shared" si="26"/>
        <v>0</v>
      </c>
      <c r="AN66" s="31">
        <f t="shared" si="26"/>
        <v>0</v>
      </c>
      <c r="AO66" s="31">
        <f t="shared" si="26"/>
        <v>0</v>
      </c>
      <c r="AP66" s="31">
        <f t="shared" si="26"/>
        <v>0</v>
      </c>
      <c r="AQ66" s="31">
        <f t="shared" si="26"/>
        <v>0</v>
      </c>
      <c r="AR66" s="31">
        <f t="shared" si="26"/>
        <v>0</v>
      </c>
      <c r="AS66" s="31">
        <f t="shared" si="26"/>
        <v>0</v>
      </c>
      <c r="AT66" s="31">
        <f t="shared" si="26"/>
        <v>0</v>
      </c>
      <c r="AU66" s="31">
        <f t="shared" si="26"/>
        <v>0</v>
      </c>
      <c r="AV66" s="31">
        <f t="shared" si="26"/>
        <v>0</v>
      </c>
      <c r="AW66" s="31">
        <f t="shared" si="26"/>
        <v>0</v>
      </c>
      <c r="AX66" s="92">
        <f>SUM(C66:AW66)</f>
        <v>19394</v>
      </c>
      <c r="AY66" s="31">
        <f>SUM(AY67:AY68)</f>
        <v>0</v>
      </c>
      <c r="AZ66" s="31">
        <f>SUM(AZ67:AZ68)</f>
        <v>0</v>
      </c>
      <c r="BA66" s="31">
        <f>SUM(BA67:BA68)</f>
        <v>0</v>
      </c>
      <c r="BB66" s="31">
        <f>SUM(BB67:BB68)</f>
        <v>0</v>
      </c>
      <c r="BC66" s="92">
        <f t="shared" si="20"/>
        <v>0</v>
      </c>
      <c r="BD66" s="150">
        <f>SUM(BD67:BD68)</f>
        <v>19394</v>
      </c>
      <c r="BE66" s="31">
        <f>SUM(BE67:BE68)</f>
        <v>0</v>
      </c>
      <c r="BF66" s="150">
        <f>SUM(BF67:BF68)</f>
        <v>0</v>
      </c>
      <c r="BG66" s="150">
        <f>SUM(BG67:BG68)</f>
        <v>19394</v>
      </c>
      <c r="BH66" s="163">
        <f>BG66-'[3]2011_ktgv_részletező_tábla'!BG66</f>
        <v>-3395.77549</v>
      </c>
    </row>
    <row r="67" spans="1:60" s="7" customFormat="1" ht="12.75">
      <c r="A67" s="132"/>
      <c r="B67" s="133" t="s">
        <v>183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>
        <f>8790+10003-1004-200+776-6030-800-1528-198-314-500-750-618-1590-508-135</f>
        <v>5394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28">
        <f t="shared" si="24"/>
        <v>5394</v>
      </c>
      <c r="AY67" s="13"/>
      <c r="AZ67" s="13"/>
      <c r="BA67" s="13"/>
      <c r="BB67" s="13"/>
      <c r="BC67" s="128">
        <f t="shared" si="20"/>
        <v>0</v>
      </c>
      <c r="BD67" s="151">
        <f t="shared" si="21"/>
        <v>5394</v>
      </c>
      <c r="BE67" s="13"/>
      <c r="BF67" s="151">
        <f>BE67</f>
        <v>0</v>
      </c>
      <c r="BG67" s="8">
        <f>BD67+BF67</f>
        <v>5394</v>
      </c>
      <c r="BH67" s="163">
        <f>BG67-'[3]2011_ktgv_részletező_tábla'!BG67</f>
        <v>-3395.77549</v>
      </c>
    </row>
    <row r="68" spans="1:60" s="7" customFormat="1" ht="12.75">
      <c r="A68" s="134"/>
      <c r="B68" s="133" t="s">
        <v>184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>
        <v>14000</v>
      </c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28">
        <f t="shared" si="24"/>
        <v>14000</v>
      </c>
      <c r="AY68" s="13"/>
      <c r="AZ68" s="13"/>
      <c r="BA68" s="13"/>
      <c r="BB68" s="13"/>
      <c r="BC68" s="128">
        <f t="shared" si="20"/>
        <v>0</v>
      </c>
      <c r="BD68" s="151">
        <f t="shared" si="21"/>
        <v>14000</v>
      </c>
      <c r="BE68" s="13"/>
      <c r="BF68" s="151">
        <f>BE68</f>
        <v>0</v>
      </c>
      <c r="BG68" s="8">
        <f>BD68+BF68</f>
        <v>14000</v>
      </c>
      <c r="BH68" s="163">
        <f>BG68-'[3]2011_ktgv_részletező_tábla'!BG68</f>
        <v>0</v>
      </c>
    </row>
    <row r="69" spans="1:60" s="5" customFormat="1" ht="18">
      <c r="A69" s="138"/>
      <c r="B69" s="127" t="s">
        <v>0</v>
      </c>
      <c r="C69" s="93">
        <f>C55+C62+C66</f>
        <v>6676</v>
      </c>
      <c r="D69" s="93">
        <f aca="true" t="shared" si="27" ref="D69:AW69">D55+D62+D66</f>
        <v>2450</v>
      </c>
      <c r="E69" s="93">
        <f t="shared" si="27"/>
        <v>600</v>
      </c>
      <c r="F69" s="93">
        <f t="shared" si="27"/>
        <v>36082</v>
      </c>
      <c r="G69" s="93">
        <f t="shared" si="27"/>
        <v>314</v>
      </c>
      <c r="H69" s="93">
        <f t="shared" si="27"/>
        <v>464</v>
      </c>
      <c r="I69" s="93">
        <f t="shared" si="27"/>
        <v>240</v>
      </c>
      <c r="J69" s="93">
        <f t="shared" si="27"/>
        <v>200</v>
      </c>
      <c r="K69" s="93">
        <f t="shared" si="27"/>
        <v>13936</v>
      </c>
      <c r="L69" s="93">
        <f t="shared" si="27"/>
        <v>21</v>
      </c>
      <c r="M69" s="93">
        <f t="shared" si="27"/>
        <v>249479</v>
      </c>
      <c r="N69" s="93">
        <f t="shared" si="27"/>
        <v>6165</v>
      </c>
      <c r="O69" s="93">
        <f t="shared" si="27"/>
        <v>200</v>
      </c>
      <c r="P69" s="93">
        <f t="shared" si="27"/>
        <v>11660</v>
      </c>
      <c r="Q69" s="93">
        <f t="shared" si="27"/>
        <v>7096</v>
      </c>
      <c r="R69" s="93">
        <f t="shared" si="27"/>
        <v>0</v>
      </c>
      <c r="S69" s="93">
        <f t="shared" si="27"/>
        <v>0</v>
      </c>
      <c r="T69" s="93">
        <f t="shared" si="27"/>
        <v>19394</v>
      </c>
      <c r="U69" s="93">
        <f t="shared" si="27"/>
        <v>195</v>
      </c>
      <c r="V69" s="93">
        <f t="shared" si="27"/>
        <v>6204</v>
      </c>
      <c r="W69" s="93">
        <f t="shared" si="27"/>
        <v>15776</v>
      </c>
      <c r="X69" s="93">
        <f t="shared" si="27"/>
        <v>1214</v>
      </c>
      <c r="Y69" s="93">
        <f t="shared" si="27"/>
        <v>2880</v>
      </c>
      <c r="Z69" s="93">
        <f t="shared" si="27"/>
        <v>0</v>
      </c>
      <c r="AA69" s="93">
        <f t="shared" si="27"/>
        <v>5725</v>
      </c>
      <c r="AB69" s="93">
        <f t="shared" si="27"/>
        <v>878</v>
      </c>
      <c r="AC69" s="93">
        <f t="shared" si="27"/>
        <v>2162</v>
      </c>
      <c r="AD69" s="93">
        <f t="shared" si="27"/>
        <v>0</v>
      </c>
      <c r="AE69" s="93">
        <f t="shared" si="27"/>
        <v>0</v>
      </c>
      <c r="AF69" s="93">
        <f t="shared" si="27"/>
        <v>0</v>
      </c>
      <c r="AG69" s="93">
        <f t="shared" si="27"/>
        <v>500</v>
      </c>
      <c r="AH69" s="93">
        <f t="shared" si="27"/>
        <v>195</v>
      </c>
      <c r="AI69" s="93">
        <f t="shared" si="27"/>
        <v>400</v>
      </c>
      <c r="AJ69" s="93">
        <f t="shared" si="27"/>
        <v>207</v>
      </c>
      <c r="AK69" s="93">
        <f t="shared" si="27"/>
        <v>593</v>
      </c>
      <c r="AL69" s="93">
        <f t="shared" si="27"/>
        <v>223</v>
      </c>
      <c r="AM69" s="93">
        <f t="shared" si="27"/>
        <v>473</v>
      </c>
      <c r="AN69" s="93">
        <f t="shared" si="27"/>
        <v>2750</v>
      </c>
      <c r="AO69" s="93">
        <f t="shared" si="27"/>
        <v>3949</v>
      </c>
      <c r="AP69" s="93">
        <f t="shared" si="27"/>
        <v>390</v>
      </c>
      <c r="AQ69" s="93">
        <f t="shared" si="27"/>
        <v>0</v>
      </c>
      <c r="AR69" s="93">
        <f t="shared" si="27"/>
        <v>5903</v>
      </c>
      <c r="AS69" s="93">
        <f t="shared" si="27"/>
        <v>1194</v>
      </c>
      <c r="AT69" s="93">
        <f t="shared" si="27"/>
        <v>1587</v>
      </c>
      <c r="AU69" s="93">
        <f t="shared" si="27"/>
        <v>901</v>
      </c>
      <c r="AV69" s="93">
        <f t="shared" si="27"/>
        <v>6942</v>
      </c>
      <c r="AW69" s="93">
        <f t="shared" si="27"/>
        <v>664</v>
      </c>
      <c r="AX69" s="93">
        <f aca="true" t="shared" si="28" ref="AX69:BF69">AX55+AX62+AX66</f>
        <v>416882</v>
      </c>
      <c r="AY69" s="93">
        <f t="shared" si="28"/>
        <v>0</v>
      </c>
      <c r="AZ69" s="93">
        <f>AZ55+AZ62+AZ66</f>
        <v>3555</v>
      </c>
      <c r="BA69" s="93">
        <f>BA55+BA62+BA66</f>
        <v>49466</v>
      </c>
      <c r="BB69" s="93">
        <f>BB55+BB62+BB66</f>
        <v>1341</v>
      </c>
      <c r="BC69" s="93">
        <f t="shared" si="28"/>
        <v>54362</v>
      </c>
      <c r="BD69" s="6">
        <f t="shared" si="28"/>
        <v>471244</v>
      </c>
      <c r="BE69" s="93">
        <f t="shared" si="28"/>
        <v>299</v>
      </c>
      <c r="BF69" s="6">
        <f t="shared" si="28"/>
        <v>299</v>
      </c>
      <c r="BG69" s="33">
        <f>BG55+BG62+BG66</f>
        <v>471543</v>
      </c>
      <c r="BH69" s="163">
        <f>BG69-'[3]2011_ktgv_részletező_tábla'!BG69</f>
        <v>41367.449523486895</v>
      </c>
    </row>
    <row r="70" ht="12.75">
      <c r="BH70" s="163">
        <f>BG70-'[3]2011_ktgv_részletező_tábla'!BG70</f>
        <v>0</v>
      </c>
    </row>
    <row r="71" spans="1:60" s="5" customFormat="1" ht="16.5" customHeight="1">
      <c r="A71" s="139"/>
      <c r="B71" s="140" t="s">
        <v>82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34">
        <f>BG50-BG69</f>
        <v>-132272</v>
      </c>
      <c r="BH71" s="163">
        <f>BG71-'[3]2011_ktgv_részletező_tábla'!BG71</f>
        <v>-10921.224023486895</v>
      </c>
    </row>
    <row r="72" spans="1:61" s="7" customFormat="1" ht="32.25" customHeight="1">
      <c r="A72" s="32"/>
      <c r="B72" s="30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6"/>
      <c r="AY72" s="35"/>
      <c r="AZ72" s="35"/>
      <c r="BA72" s="35"/>
      <c r="BB72" s="35"/>
      <c r="BC72" s="36"/>
      <c r="BD72" s="36"/>
      <c r="BE72" s="35"/>
      <c r="BF72" s="36"/>
      <c r="BG72" s="37"/>
      <c r="BH72" s="163">
        <f>BG72-'[3]2011_ktgv_részletező_tábla'!BG72</f>
        <v>0</v>
      </c>
      <c r="BI72" s="159"/>
    </row>
    <row r="73" spans="1:61" s="5" customFormat="1" ht="19.5" customHeight="1" thickBot="1">
      <c r="A73" s="46"/>
      <c r="B73" s="38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40"/>
      <c r="BH73" s="163">
        <f>BG73-'[3]2011_ktgv_részletező_tábla'!BG73</f>
        <v>0</v>
      </c>
      <c r="BI73" s="159"/>
    </row>
    <row r="74" spans="1:61" s="12" customFormat="1" ht="16.5" customHeight="1">
      <c r="A74" s="54"/>
      <c r="B74" s="60" t="s">
        <v>84</v>
      </c>
      <c r="C74" s="158">
        <f>SUM(C75:C76)</f>
        <v>0</v>
      </c>
      <c r="D74" s="158">
        <f aca="true" t="shared" si="29" ref="D74:BG74">SUM(D75:D76)</f>
        <v>0</v>
      </c>
      <c r="E74" s="158">
        <f t="shared" si="29"/>
        <v>0</v>
      </c>
      <c r="F74" s="158">
        <f t="shared" si="29"/>
        <v>374</v>
      </c>
      <c r="G74" s="158"/>
      <c r="H74" s="158">
        <f t="shared" si="29"/>
        <v>0</v>
      </c>
      <c r="I74" s="158">
        <f t="shared" si="29"/>
        <v>0</v>
      </c>
      <c r="J74" s="158">
        <f t="shared" si="29"/>
        <v>0</v>
      </c>
      <c r="K74" s="158">
        <f t="shared" si="29"/>
        <v>0</v>
      </c>
      <c r="L74" s="158">
        <f t="shared" si="29"/>
        <v>0</v>
      </c>
      <c r="M74" s="158">
        <f t="shared" si="29"/>
        <v>87915</v>
      </c>
      <c r="N74" s="158">
        <f t="shared" si="29"/>
        <v>0</v>
      </c>
      <c r="O74" s="158">
        <f t="shared" si="29"/>
        <v>0</v>
      </c>
      <c r="P74" s="158">
        <f t="shared" si="29"/>
        <v>0</v>
      </c>
      <c r="Q74" s="158">
        <f t="shared" si="29"/>
        <v>5</v>
      </c>
      <c r="R74" s="158">
        <f t="shared" si="29"/>
        <v>0</v>
      </c>
      <c r="S74" s="158">
        <f t="shared" si="29"/>
        <v>0</v>
      </c>
      <c r="T74" s="158">
        <f t="shared" si="29"/>
        <v>10003</v>
      </c>
      <c r="U74" s="158">
        <f t="shared" si="29"/>
        <v>0</v>
      </c>
      <c r="V74" s="158">
        <f t="shared" si="29"/>
        <v>5</v>
      </c>
      <c r="W74" s="158">
        <f t="shared" si="29"/>
        <v>0</v>
      </c>
      <c r="X74" s="158">
        <f t="shared" si="29"/>
        <v>0</v>
      </c>
      <c r="Y74" s="158">
        <f t="shared" si="29"/>
        <v>0</v>
      </c>
      <c r="Z74" s="158">
        <f t="shared" si="29"/>
        <v>0</v>
      </c>
      <c r="AA74" s="158">
        <f t="shared" si="29"/>
        <v>0</v>
      </c>
      <c r="AB74" s="158">
        <f t="shared" si="29"/>
        <v>0</v>
      </c>
      <c r="AC74" s="158">
        <f t="shared" si="29"/>
        <v>0</v>
      </c>
      <c r="AD74" s="158">
        <f t="shared" si="29"/>
        <v>0</v>
      </c>
      <c r="AE74" s="158">
        <f t="shared" si="29"/>
        <v>0</v>
      </c>
      <c r="AF74" s="158">
        <f t="shared" si="29"/>
        <v>0</v>
      </c>
      <c r="AG74" s="158">
        <f t="shared" si="29"/>
        <v>0</v>
      </c>
      <c r="AH74" s="158">
        <f t="shared" si="29"/>
        <v>0</v>
      </c>
      <c r="AI74" s="158">
        <f t="shared" si="29"/>
        <v>0</v>
      </c>
      <c r="AJ74" s="158">
        <f t="shared" si="29"/>
        <v>0</v>
      </c>
      <c r="AK74" s="158">
        <f t="shared" si="29"/>
        <v>0</v>
      </c>
      <c r="AL74" s="158">
        <f t="shared" si="29"/>
        <v>0</v>
      </c>
      <c r="AM74" s="158">
        <f t="shared" si="29"/>
        <v>73</v>
      </c>
      <c r="AN74" s="158">
        <f t="shared" si="29"/>
        <v>0</v>
      </c>
      <c r="AO74" s="158">
        <f t="shared" si="29"/>
        <v>0</v>
      </c>
      <c r="AP74" s="158">
        <f t="shared" si="29"/>
        <v>0</v>
      </c>
      <c r="AQ74" s="158">
        <f t="shared" si="29"/>
        <v>0</v>
      </c>
      <c r="AR74" s="158">
        <f t="shared" si="29"/>
        <v>0</v>
      </c>
      <c r="AS74" s="158">
        <f t="shared" si="29"/>
        <v>0</v>
      </c>
      <c r="AT74" s="158">
        <f t="shared" si="29"/>
        <v>0</v>
      </c>
      <c r="AU74" s="158">
        <f t="shared" si="29"/>
        <v>0</v>
      </c>
      <c r="AV74" s="158">
        <f t="shared" si="29"/>
        <v>0</v>
      </c>
      <c r="AW74" s="158">
        <f t="shared" si="29"/>
        <v>0</v>
      </c>
      <c r="AX74" s="158">
        <f t="shared" si="29"/>
        <v>98375</v>
      </c>
      <c r="AY74" s="158">
        <f t="shared" si="29"/>
        <v>0</v>
      </c>
      <c r="AZ74" s="158">
        <f t="shared" si="29"/>
        <v>0</v>
      </c>
      <c r="BA74" s="158">
        <f t="shared" si="29"/>
        <v>0</v>
      </c>
      <c r="BB74" s="158">
        <f t="shared" si="29"/>
        <v>0</v>
      </c>
      <c r="BC74" s="158">
        <f t="shared" si="29"/>
        <v>0</v>
      </c>
      <c r="BD74" s="158">
        <f t="shared" si="29"/>
        <v>98375</v>
      </c>
      <c r="BE74" s="158">
        <f t="shared" si="29"/>
        <v>89</v>
      </c>
      <c r="BF74" s="158">
        <f t="shared" si="29"/>
        <v>89</v>
      </c>
      <c r="BG74" s="158">
        <f t="shared" si="29"/>
        <v>98464</v>
      </c>
      <c r="BH74" s="163">
        <f>BG74-'[3]2011_ktgv_részletező_tábla'!BG74</f>
        <v>10921</v>
      </c>
      <c r="BI74" s="160"/>
    </row>
    <row r="75" spans="1:61" s="12" customFormat="1" ht="14.25">
      <c r="A75" s="55"/>
      <c r="B75" s="9" t="s">
        <v>62</v>
      </c>
      <c r="C75" s="13"/>
      <c r="D75" s="13"/>
      <c r="E75" s="13"/>
      <c r="F75" s="13">
        <v>374</v>
      </c>
      <c r="G75" s="13"/>
      <c r="H75" s="13"/>
      <c r="I75" s="13"/>
      <c r="J75" s="13"/>
      <c r="K75" s="13"/>
      <c r="L75" s="13"/>
      <c r="M75" s="13">
        <f>55797+461</f>
        <v>56258</v>
      </c>
      <c r="N75" s="13"/>
      <c r="O75" s="13"/>
      <c r="P75" s="13"/>
      <c r="Q75" s="13">
        <v>5</v>
      </c>
      <c r="R75" s="13"/>
      <c r="S75" s="13"/>
      <c r="T75" s="13">
        <v>10003</v>
      </c>
      <c r="U75" s="13"/>
      <c r="V75" s="13">
        <v>5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>
        <v>73</v>
      </c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28">
        <f>SUM(C75:AW75)</f>
        <v>66718</v>
      </c>
      <c r="AY75" s="13"/>
      <c r="AZ75" s="13"/>
      <c r="BA75" s="13"/>
      <c r="BB75" s="13"/>
      <c r="BC75" s="128">
        <f>SUM(AY75:BB75)</f>
        <v>0</v>
      </c>
      <c r="BD75" s="151">
        <f>AX75+BC75</f>
        <v>66718</v>
      </c>
      <c r="BE75" s="13">
        <v>89</v>
      </c>
      <c r="BF75" s="151">
        <f>BE75</f>
        <v>89</v>
      </c>
      <c r="BG75" s="8">
        <f>BD75+BF75</f>
        <v>66807</v>
      </c>
      <c r="BH75" s="163">
        <f>BG75-'[3]2011_ktgv_részletező_tábla'!BG75</f>
        <v>10921</v>
      </c>
      <c r="BI75" s="161"/>
    </row>
    <row r="76" spans="2:61" s="10" customFormat="1" ht="11.25" customHeight="1">
      <c r="B76" s="9" t="s">
        <v>61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>
        <v>31657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28">
        <f>SUM(C76:AW76)</f>
        <v>31657</v>
      </c>
      <c r="AY76" s="13"/>
      <c r="AZ76" s="13"/>
      <c r="BA76" s="13"/>
      <c r="BB76" s="13"/>
      <c r="BC76" s="128">
        <f>SUM(AY76:BB76)</f>
        <v>0</v>
      </c>
      <c r="BD76" s="151">
        <f>AX76+BC76</f>
        <v>31657</v>
      </c>
      <c r="BE76" s="13"/>
      <c r="BF76" s="151">
        <f>BE76</f>
        <v>0</v>
      </c>
      <c r="BG76" s="8">
        <f>BD76+BF76</f>
        <v>31657</v>
      </c>
      <c r="BH76" s="163">
        <f>BG76-'[3]2011_ktgv_részletező_tábla'!BG76</f>
        <v>0</v>
      </c>
      <c r="BI76" s="160"/>
    </row>
    <row r="77" spans="2:60" s="10" customFormat="1" ht="21.7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91"/>
      <c r="AY77" s="42"/>
      <c r="AZ77" s="42"/>
      <c r="BA77" s="42"/>
      <c r="BB77" s="42"/>
      <c r="BC77" s="36"/>
      <c r="BD77" s="36"/>
      <c r="BE77" s="42"/>
      <c r="BF77" s="36"/>
      <c r="BG77" s="37"/>
      <c r="BH77" s="163">
        <f>BG77-'[3]2011_ktgv_részletező_tábla'!BG77</f>
        <v>0</v>
      </c>
    </row>
    <row r="78" spans="1:60" s="5" customFormat="1" ht="19.5" customHeight="1" thickBot="1">
      <c r="A78" s="46"/>
      <c r="B78" s="38" t="s">
        <v>85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40"/>
      <c r="BH78" s="163">
        <f>BG78-'[3]2011_ktgv_részletező_tábla'!BG78</f>
        <v>0</v>
      </c>
    </row>
    <row r="79" spans="1:60" s="12" customFormat="1" ht="30" customHeight="1">
      <c r="A79" s="54"/>
      <c r="B79" s="61" t="s">
        <v>145</v>
      </c>
      <c r="C79" s="24">
        <f>SUM(C80:C82)</f>
        <v>0</v>
      </c>
      <c r="D79" s="24">
        <f aca="true" t="shared" si="30" ref="D79:BG79">SUM(D80:D82)</f>
        <v>0</v>
      </c>
      <c r="E79" s="24">
        <f t="shared" si="30"/>
        <v>0</v>
      </c>
      <c r="F79" s="24">
        <f t="shared" si="30"/>
        <v>0</v>
      </c>
      <c r="G79" s="24"/>
      <c r="H79" s="24">
        <f t="shared" si="30"/>
        <v>0</v>
      </c>
      <c r="I79" s="24">
        <f t="shared" si="30"/>
        <v>0</v>
      </c>
      <c r="J79" s="24">
        <f t="shared" si="30"/>
        <v>0</v>
      </c>
      <c r="K79" s="24">
        <f t="shared" si="30"/>
        <v>0</v>
      </c>
      <c r="L79" s="24">
        <f t="shared" si="30"/>
        <v>0</v>
      </c>
      <c r="M79" s="24">
        <f t="shared" si="30"/>
        <v>0</v>
      </c>
      <c r="N79" s="24">
        <f t="shared" si="30"/>
        <v>0</v>
      </c>
      <c r="O79" s="24">
        <f t="shared" si="30"/>
        <v>0</v>
      </c>
      <c r="P79" s="24">
        <f t="shared" si="30"/>
        <v>0</v>
      </c>
      <c r="Q79" s="24">
        <f t="shared" si="30"/>
        <v>0</v>
      </c>
      <c r="R79" s="24">
        <f t="shared" si="30"/>
        <v>0</v>
      </c>
      <c r="S79" s="24">
        <f t="shared" si="30"/>
        <v>42743</v>
      </c>
      <c r="T79" s="24">
        <f t="shared" si="30"/>
        <v>0</v>
      </c>
      <c r="U79" s="24">
        <f t="shared" si="30"/>
        <v>0</v>
      </c>
      <c r="V79" s="24">
        <f t="shared" si="30"/>
        <v>0</v>
      </c>
      <c r="W79" s="24">
        <f t="shared" si="30"/>
        <v>0</v>
      </c>
      <c r="X79" s="24">
        <f t="shared" si="30"/>
        <v>0</v>
      </c>
      <c r="Y79" s="24">
        <f t="shared" si="30"/>
        <v>0</v>
      </c>
      <c r="Z79" s="24">
        <f t="shared" si="30"/>
        <v>0</v>
      </c>
      <c r="AA79" s="24">
        <f t="shared" si="30"/>
        <v>0</v>
      </c>
      <c r="AB79" s="24">
        <f t="shared" si="30"/>
        <v>0</v>
      </c>
      <c r="AC79" s="24">
        <f t="shared" si="30"/>
        <v>0</v>
      </c>
      <c r="AD79" s="24">
        <f t="shared" si="30"/>
        <v>0</v>
      </c>
      <c r="AE79" s="24">
        <f t="shared" si="30"/>
        <v>0</v>
      </c>
      <c r="AF79" s="24">
        <f t="shared" si="30"/>
        <v>0</v>
      </c>
      <c r="AG79" s="24">
        <f t="shared" si="30"/>
        <v>0</v>
      </c>
      <c r="AH79" s="24">
        <f t="shared" si="30"/>
        <v>0</v>
      </c>
      <c r="AI79" s="24">
        <f t="shared" si="30"/>
        <v>0</v>
      </c>
      <c r="AJ79" s="24">
        <f t="shared" si="30"/>
        <v>0</v>
      </c>
      <c r="AK79" s="24">
        <f t="shared" si="30"/>
        <v>0</v>
      </c>
      <c r="AL79" s="24">
        <f t="shared" si="30"/>
        <v>0</v>
      </c>
      <c r="AM79" s="24">
        <f t="shared" si="30"/>
        <v>0</v>
      </c>
      <c r="AN79" s="24">
        <f t="shared" si="30"/>
        <v>0</v>
      </c>
      <c r="AO79" s="24">
        <f t="shared" si="30"/>
        <v>0</v>
      </c>
      <c r="AP79" s="24">
        <f t="shared" si="30"/>
        <v>0</v>
      </c>
      <c r="AQ79" s="24">
        <f t="shared" si="30"/>
        <v>0</v>
      </c>
      <c r="AR79" s="24">
        <f t="shared" si="30"/>
        <v>0</v>
      </c>
      <c r="AS79" s="24">
        <f t="shared" si="30"/>
        <v>0</v>
      </c>
      <c r="AT79" s="24">
        <f t="shared" si="30"/>
        <v>0</v>
      </c>
      <c r="AU79" s="24">
        <f t="shared" si="30"/>
        <v>0</v>
      </c>
      <c r="AV79" s="24">
        <f t="shared" si="30"/>
        <v>0</v>
      </c>
      <c r="AW79" s="24">
        <f t="shared" si="30"/>
        <v>0</v>
      </c>
      <c r="AX79" s="24">
        <f t="shared" si="30"/>
        <v>42743</v>
      </c>
      <c r="AY79" s="24">
        <f t="shared" si="30"/>
        <v>0</v>
      </c>
      <c r="AZ79" s="24">
        <f t="shared" si="30"/>
        <v>0</v>
      </c>
      <c r="BA79" s="24">
        <f t="shared" si="30"/>
        <v>0</v>
      </c>
      <c r="BB79" s="24">
        <f t="shared" si="30"/>
        <v>0</v>
      </c>
      <c r="BC79" s="24">
        <f t="shared" si="30"/>
        <v>0</v>
      </c>
      <c r="BD79" s="24">
        <f t="shared" si="30"/>
        <v>42743</v>
      </c>
      <c r="BE79" s="24">
        <f t="shared" si="30"/>
        <v>0</v>
      </c>
      <c r="BF79" s="24">
        <f t="shared" si="30"/>
        <v>0</v>
      </c>
      <c r="BG79" s="24">
        <f t="shared" si="30"/>
        <v>42743</v>
      </c>
      <c r="BH79" s="163">
        <f>BG79-'[3]2011_ktgv_részletező_tábla'!BG79</f>
        <v>0</v>
      </c>
    </row>
    <row r="80" spans="1:60" s="7" customFormat="1" ht="12.75">
      <c r="A80" s="32"/>
      <c r="B80" s="62" t="s">
        <v>67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28">
        <f>SUM(C80:AW80)</f>
        <v>0</v>
      </c>
      <c r="AY80" s="13"/>
      <c r="AZ80" s="13"/>
      <c r="BA80" s="13"/>
      <c r="BB80" s="13"/>
      <c r="BC80" s="128">
        <f>SUM(AY80:BB80)</f>
        <v>0</v>
      </c>
      <c r="BD80" s="151">
        <f>AX80+BC80</f>
        <v>0</v>
      </c>
      <c r="BE80" s="13"/>
      <c r="BF80" s="151">
        <f>BE80</f>
        <v>0</v>
      </c>
      <c r="BG80" s="8">
        <f>BD80+BF80</f>
        <v>0</v>
      </c>
      <c r="BH80" s="163">
        <f>BG80-'[3]2011_ktgv_részletező_tábla'!BG80</f>
        <v>0</v>
      </c>
    </row>
    <row r="81" spans="1:60" s="7" customFormat="1" ht="12.75">
      <c r="A81" s="32"/>
      <c r="B81" s="62" t="s">
        <v>66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>
        <v>14000</v>
      </c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28">
        <f>SUM(C81:AW81)</f>
        <v>14000</v>
      </c>
      <c r="AY81" s="13"/>
      <c r="AZ81" s="13"/>
      <c r="BA81" s="13"/>
      <c r="BB81" s="13"/>
      <c r="BC81" s="128">
        <f>SUM(AY81:BB81)</f>
        <v>0</v>
      </c>
      <c r="BD81" s="151">
        <f>AX81+BC81</f>
        <v>14000</v>
      </c>
      <c r="BE81" s="13"/>
      <c r="BF81" s="151">
        <f>BE81</f>
        <v>0</v>
      </c>
      <c r="BG81" s="8">
        <f>BD81+BF81</f>
        <v>14000</v>
      </c>
      <c r="BH81" s="163">
        <f>BG81-'[3]2011_ktgv_részletező_tábla'!BG81</f>
        <v>0</v>
      </c>
    </row>
    <row r="82" spans="1:60" s="7" customFormat="1" ht="12.75">
      <c r="A82" s="32"/>
      <c r="B82" s="63" t="s">
        <v>65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>
        <v>28743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28">
        <f>SUM(C82:AW82)</f>
        <v>28743</v>
      </c>
      <c r="AY82" s="13"/>
      <c r="AZ82" s="13"/>
      <c r="BA82" s="13"/>
      <c r="BB82" s="13"/>
      <c r="BC82" s="128">
        <f>SUM(AY82:BB82)</f>
        <v>0</v>
      </c>
      <c r="BD82" s="151">
        <f>AX82+BC82</f>
        <v>28743</v>
      </c>
      <c r="BE82" s="13"/>
      <c r="BF82" s="151">
        <f>BE82</f>
        <v>0</v>
      </c>
      <c r="BG82" s="8">
        <f>BD82+BF82</f>
        <v>28743</v>
      </c>
      <c r="BH82" s="163">
        <f>BG82-'[3]2011_ktgv_részletező_tábla'!BG82</f>
        <v>0</v>
      </c>
    </row>
    <row r="83" spans="1:60" s="5" customFormat="1" ht="52.5" customHeight="1">
      <c r="A83" s="56"/>
      <c r="B83" s="57" t="s">
        <v>86</v>
      </c>
      <c r="C83" s="142">
        <f>C79+C74+C50</f>
        <v>6286</v>
      </c>
      <c r="D83" s="142">
        <f aca="true" t="shared" si="31" ref="D83:AW83">D79+D74+D50</f>
        <v>0</v>
      </c>
      <c r="E83" s="142">
        <f t="shared" si="31"/>
        <v>0</v>
      </c>
      <c r="F83" s="142">
        <f t="shared" si="31"/>
        <v>14581</v>
      </c>
      <c r="G83" s="142">
        <f t="shared" si="31"/>
        <v>0</v>
      </c>
      <c r="H83" s="142">
        <f t="shared" si="31"/>
        <v>1464</v>
      </c>
      <c r="I83" s="142">
        <f t="shared" si="31"/>
        <v>2204</v>
      </c>
      <c r="J83" s="142">
        <f t="shared" si="31"/>
        <v>0</v>
      </c>
      <c r="K83" s="142">
        <f t="shared" si="31"/>
        <v>308</v>
      </c>
      <c r="L83" s="142">
        <f t="shared" si="31"/>
        <v>21</v>
      </c>
      <c r="M83" s="142">
        <f t="shared" si="31"/>
        <v>161715</v>
      </c>
      <c r="N83" s="142">
        <f t="shared" si="31"/>
        <v>0</v>
      </c>
      <c r="O83" s="142">
        <f t="shared" si="31"/>
        <v>0</v>
      </c>
      <c r="P83" s="142">
        <f t="shared" si="31"/>
        <v>0</v>
      </c>
      <c r="Q83" s="142">
        <f t="shared" si="31"/>
        <v>5</v>
      </c>
      <c r="R83" s="142">
        <f t="shared" si="31"/>
        <v>220578</v>
      </c>
      <c r="S83" s="142">
        <f t="shared" si="31"/>
        <v>42743</v>
      </c>
      <c r="T83" s="142">
        <f t="shared" si="31"/>
        <v>10003</v>
      </c>
      <c r="U83" s="142">
        <f t="shared" si="31"/>
        <v>0</v>
      </c>
      <c r="V83" s="142">
        <f t="shared" si="31"/>
        <v>4465</v>
      </c>
      <c r="W83" s="142">
        <f t="shared" si="31"/>
        <v>0</v>
      </c>
      <c r="X83" s="142">
        <f t="shared" si="31"/>
        <v>0</v>
      </c>
      <c r="Y83" s="142">
        <f t="shared" si="31"/>
        <v>0</v>
      </c>
      <c r="Z83" s="142">
        <f t="shared" si="31"/>
        <v>0</v>
      </c>
      <c r="AA83" s="142">
        <f t="shared" si="31"/>
        <v>0</v>
      </c>
      <c r="AB83" s="142">
        <f t="shared" si="31"/>
        <v>0</v>
      </c>
      <c r="AC83" s="142">
        <f t="shared" si="31"/>
        <v>0</v>
      </c>
      <c r="AD83" s="142">
        <f t="shared" si="31"/>
        <v>0</v>
      </c>
      <c r="AE83" s="142">
        <f t="shared" si="31"/>
        <v>0</v>
      </c>
      <c r="AF83" s="142">
        <f t="shared" si="31"/>
        <v>0</v>
      </c>
      <c r="AG83" s="142">
        <f t="shared" si="31"/>
        <v>0</v>
      </c>
      <c r="AH83" s="142">
        <f t="shared" si="31"/>
        <v>0</v>
      </c>
      <c r="AI83" s="142">
        <f t="shared" si="31"/>
        <v>0</v>
      </c>
      <c r="AJ83" s="142">
        <f t="shared" si="31"/>
        <v>0</v>
      </c>
      <c r="AK83" s="142">
        <f t="shared" si="31"/>
        <v>0</v>
      </c>
      <c r="AL83" s="142">
        <f t="shared" si="31"/>
        <v>0</v>
      </c>
      <c r="AM83" s="142">
        <f t="shared" si="31"/>
        <v>73</v>
      </c>
      <c r="AN83" s="142">
        <f t="shared" si="31"/>
        <v>0</v>
      </c>
      <c r="AO83" s="142">
        <f t="shared" si="31"/>
        <v>0</v>
      </c>
      <c r="AP83" s="142">
        <f t="shared" si="31"/>
        <v>0</v>
      </c>
      <c r="AQ83" s="142">
        <f t="shared" si="31"/>
        <v>0</v>
      </c>
      <c r="AR83" s="142">
        <f t="shared" si="31"/>
        <v>3000</v>
      </c>
      <c r="AS83" s="142">
        <f t="shared" si="31"/>
        <v>1620</v>
      </c>
      <c r="AT83" s="142">
        <f t="shared" si="31"/>
        <v>0</v>
      </c>
      <c r="AU83" s="142">
        <f t="shared" si="31"/>
        <v>0</v>
      </c>
      <c r="AV83" s="142">
        <f t="shared" si="31"/>
        <v>280</v>
      </c>
      <c r="AW83" s="142">
        <f t="shared" si="31"/>
        <v>474</v>
      </c>
      <c r="AX83" s="142">
        <f aca="true" t="shared" si="32" ref="AX83:BE83">AX79+AX74+AX50</f>
        <v>469820</v>
      </c>
      <c r="AY83" s="142">
        <f t="shared" si="32"/>
        <v>6624</v>
      </c>
      <c r="AZ83" s="142">
        <f>AZ79+AZ74+AZ50</f>
        <v>3735</v>
      </c>
      <c r="BA83" s="142">
        <f>BA79+BA74+BA50</f>
        <v>0</v>
      </c>
      <c r="BB83" s="142">
        <f>BB79+BB74+BB50</f>
        <v>0</v>
      </c>
      <c r="BC83" s="142">
        <f t="shared" si="32"/>
        <v>10359</v>
      </c>
      <c r="BD83" s="142">
        <f t="shared" si="32"/>
        <v>480179</v>
      </c>
      <c r="BE83" s="142">
        <f t="shared" si="32"/>
        <v>299</v>
      </c>
      <c r="BF83" s="44">
        <f>BF50+BF74+BF79</f>
        <v>299</v>
      </c>
      <c r="BG83" s="45">
        <f>BG50+BG74+BG79</f>
        <v>480478</v>
      </c>
      <c r="BH83" s="163">
        <f>BG83-'[3]2011_ktgv_részletező_tábla'!BG83</f>
        <v>41367.2255</v>
      </c>
    </row>
    <row r="84" spans="1:60" s="5" customFormat="1" ht="27" customHeight="1">
      <c r="A84" s="46"/>
      <c r="B84" s="4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48"/>
      <c r="BH84" s="163">
        <f>BG84-'[3]2011_ktgv_részletező_tábla'!BG84</f>
        <v>0</v>
      </c>
    </row>
    <row r="85" spans="1:60" s="12" customFormat="1" ht="30" customHeight="1">
      <c r="A85" s="54"/>
      <c r="B85" s="43" t="s">
        <v>144</v>
      </c>
      <c r="C85" s="24">
        <f>SUM(C86:C88)</f>
        <v>0</v>
      </c>
      <c r="D85" s="24">
        <f aca="true" t="shared" si="33" ref="D85:BG85">SUM(D86:D88)</f>
        <v>0</v>
      </c>
      <c r="E85" s="24">
        <f t="shared" si="33"/>
        <v>0</v>
      </c>
      <c r="F85" s="24">
        <f t="shared" si="33"/>
        <v>0</v>
      </c>
      <c r="G85" s="24"/>
      <c r="H85" s="24">
        <f t="shared" si="33"/>
        <v>0</v>
      </c>
      <c r="I85" s="24">
        <f t="shared" si="33"/>
        <v>0</v>
      </c>
      <c r="J85" s="24">
        <f t="shared" si="33"/>
        <v>0</v>
      </c>
      <c r="K85" s="24">
        <f t="shared" si="33"/>
        <v>0</v>
      </c>
      <c r="L85" s="24">
        <f t="shared" si="33"/>
        <v>0</v>
      </c>
      <c r="M85" s="24">
        <f t="shared" si="33"/>
        <v>0</v>
      </c>
      <c r="N85" s="24">
        <f t="shared" si="33"/>
        <v>0</v>
      </c>
      <c r="O85" s="24">
        <f t="shared" si="33"/>
        <v>0</v>
      </c>
      <c r="P85" s="24">
        <f t="shared" si="33"/>
        <v>0</v>
      </c>
      <c r="Q85" s="24">
        <f t="shared" si="33"/>
        <v>0</v>
      </c>
      <c r="R85" s="24">
        <f t="shared" si="33"/>
        <v>0</v>
      </c>
      <c r="S85" s="24">
        <f t="shared" si="33"/>
        <v>8935</v>
      </c>
      <c r="T85" s="24">
        <f t="shared" si="33"/>
        <v>0</v>
      </c>
      <c r="U85" s="24">
        <f t="shared" si="33"/>
        <v>0</v>
      </c>
      <c r="V85" s="24">
        <f t="shared" si="33"/>
        <v>0</v>
      </c>
      <c r="W85" s="24">
        <f t="shared" si="33"/>
        <v>0</v>
      </c>
      <c r="X85" s="24">
        <f t="shared" si="33"/>
        <v>0</v>
      </c>
      <c r="Y85" s="24">
        <f t="shared" si="33"/>
        <v>0</v>
      </c>
      <c r="Z85" s="24">
        <f t="shared" si="33"/>
        <v>0</v>
      </c>
      <c r="AA85" s="24">
        <f t="shared" si="33"/>
        <v>0</v>
      </c>
      <c r="AB85" s="24">
        <f t="shared" si="33"/>
        <v>0</v>
      </c>
      <c r="AC85" s="24">
        <f t="shared" si="33"/>
        <v>0</v>
      </c>
      <c r="AD85" s="24">
        <f t="shared" si="33"/>
        <v>0</v>
      </c>
      <c r="AE85" s="24">
        <f t="shared" si="33"/>
        <v>0</v>
      </c>
      <c r="AF85" s="24">
        <f t="shared" si="33"/>
        <v>0</v>
      </c>
      <c r="AG85" s="24">
        <f t="shared" si="33"/>
        <v>0</v>
      </c>
      <c r="AH85" s="24">
        <f t="shared" si="33"/>
        <v>0</v>
      </c>
      <c r="AI85" s="24">
        <f t="shared" si="33"/>
        <v>0</v>
      </c>
      <c r="AJ85" s="24">
        <f t="shared" si="33"/>
        <v>0</v>
      </c>
      <c r="AK85" s="24">
        <f t="shared" si="33"/>
        <v>0</v>
      </c>
      <c r="AL85" s="24">
        <f t="shared" si="33"/>
        <v>0</v>
      </c>
      <c r="AM85" s="24">
        <f t="shared" si="33"/>
        <v>0</v>
      </c>
      <c r="AN85" s="24">
        <f t="shared" si="33"/>
        <v>0</v>
      </c>
      <c r="AO85" s="24">
        <f t="shared" si="33"/>
        <v>0</v>
      </c>
      <c r="AP85" s="24">
        <f t="shared" si="33"/>
        <v>0</v>
      </c>
      <c r="AQ85" s="24">
        <f t="shared" si="33"/>
        <v>0</v>
      </c>
      <c r="AR85" s="24">
        <f t="shared" si="33"/>
        <v>0</v>
      </c>
      <c r="AS85" s="24">
        <f t="shared" si="33"/>
        <v>0</v>
      </c>
      <c r="AT85" s="24"/>
      <c r="AU85" s="24">
        <f t="shared" si="33"/>
        <v>0</v>
      </c>
      <c r="AV85" s="24">
        <f t="shared" si="33"/>
        <v>0</v>
      </c>
      <c r="AW85" s="24">
        <f t="shared" si="33"/>
        <v>0</v>
      </c>
      <c r="AX85" s="24">
        <f t="shared" si="33"/>
        <v>8935</v>
      </c>
      <c r="AY85" s="24">
        <f t="shared" si="33"/>
        <v>0</v>
      </c>
      <c r="AZ85" s="24">
        <f t="shared" si="33"/>
        <v>0</v>
      </c>
      <c r="BA85" s="24">
        <f t="shared" si="33"/>
        <v>0</v>
      </c>
      <c r="BB85" s="24">
        <f t="shared" si="33"/>
        <v>0</v>
      </c>
      <c r="BC85" s="24">
        <f t="shared" si="33"/>
        <v>0</v>
      </c>
      <c r="BD85" s="24">
        <f t="shared" si="33"/>
        <v>8935</v>
      </c>
      <c r="BE85" s="24">
        <f t="shared" si="33"/>
        <v>0</v>
      </c>
      <c r="BF85" s="24">
        <f t="shared" si="33"/>
        <v>0</v>
      </c>
      <c r="BG85" s="24">
        <f t="shared" si="33"/>
        <v>8935</v>
      </c>
      <c r="BH85" s="163">
        <f>BG85-'[3]2011_ktgv_részletező_tábla'!BG85</f>
        <v>-0.06699999999909778</v>
      </c>
    </row>
    <row r="86" spans="1:60" s="12" customFormat="1" ht="12.75" customHeight="1">
      <c r="A86" s="54"/>
      <c r="B86" s="90" t="s">
        <v>196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28">
        <f>SUM(C86:AW86)</f>
        <v>0</v>
      </c>
      <c r="AY86" s="13"/>
      <c r="AZ86" s="13"/>
      <c r="BA86" s="13"/>
      <c r="BB86" s="13"/>
      <c r="BC86" s="128">
        <f>SUM(AY86:BB86)</f>
        <v>0</v>
      </c>
      <c r="BD86" s="151">
        <f>AX86+BC86</f>
        <v>0</v>
      </c>
      <c r="BE86" s="13"/>
      <c r="BF86" s="151">
        <f>BE86</f>
        <v>0</v>
      </c>
      <c r="BG86" s="8">
        <f>BD86+BF86</f>
        <v>0</v>
      </c>
      <c r="BH86" s="163">
        <f>BG86-'[3]2011_ktgv_részletező_tábla'!BG86</f>
        <v>0</v>
      </c>
    </row>
    <row r="87" spans="2:60" s="10" customFormat="1" ht="11.25" customHeight="1">
      <c r="B87" s="9" t="s">
        <v>1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>
        <v>8935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28">
        <f>SUM(C87:AW87)</f>
        <v>8935</v>
      </c>
      <c r="AY87" s="13"/>
      <c r="AZ87" s="13"/>
      <c r="BA87" s="13"/>
      <c r="BB87" s="13"/>
      <c r="BC87" s="128">
        <f>SUM(AY87:BB87)</f>
        <v>0</v>
      </c>
      <c r="BD87" s="151">
        <f>AX87+BC87</f>
        <v>8935</v>
      </c>
      <c r="BE87" s="13"/>
      <c r="BF87" s="151">
        <f>BE87</f>
        <v>0</v>
      </c>
      <c r="BG87" s="8">
        <f>BD87+BF87</f>
        <v>8935</v>
      </c>
      <c r="BH87" s="163">
        <f>BG87-'[3]2011_ktgv_részletező_tábla'!BG87</f>
        <v>-0.06699999999909778</v>
      </c>
    </row>
    <row r="88" spans="2:60" s="10" customFormat="1" ht="11.25" customHeight="1">
      <c r="B88" s="9" t="s">
        <v>87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28">
        <f>SUM(C88:AW88)</f>
        <v>0</v>
      </c>
      <c r="AY88" s="13"/>
      <c r="AZ88" s="13"/>
      <c r="BA88" s="13"/>
      <c r="BB88" s="13"/>
      <c r="BC88" s="128">
        <f>SUM(AY88:BB88)</f>
        <v>0</v>
      </c>
      <c r="BD88" s="151">
        <f>AX88+BC88</f>
        <v>0</v>
      </c>
      <c r="BE88" s="13"/>
      <c r="BF88" s="151">
        <f>BE88</f>
        <v>0</v>
      </c>
      <c r="BG88" s="8">
        <f>BD88+BF88</f>
        <v>0</v>
      </c>
      <c r="BH88" s="163">
        <f>BG88-'[3]2011_ktgv_részletező_tábla'!BG88</f>
        <v>0</v>
      </c>
    </row>
    <row r="89" spans="1:60" s="5" customFormat="1" ht="37.5" customHeight="1">
      <c r="A89" s="47"/>
      <c r="B89" s="57" t="s">
        <v>88</v>
      </c>
      <c r="C89" s="142">
        <f>C85+C69</f>
        <v>6676</v>
      </c>
      <c r="D89" s="142">
        <f aca="true" t="shared" si="34" ref="D89:AW89">D85+D69</f>
        <v>2450</v>
      </c>
      <c r="E89" s="142">
        <f t="shared" si="34"/>
        <v>600</v>
      </c>
      <c r="F89" s="142">
        <f t="shared" si="34"/>
        <v>36082</v>
      </c>
      <c r="G89" s="142">
        <f t="shared" si="34"/>
        <v>314</v>
      </c>
      <c r="H89" s="142">
        <f t="shared" si="34"/>
        <v>464</v>
      </c>
      <c r="I89" s="142">
        <f t="shared" si="34"/>
        <v>240</v>
      </c>
      <c r="J89" s="142">
        <f t="shared" si="34"/>
        <v>200</v>
      </c>
      <c r="K89" s="142">
        <f t="shared" si="34"/>
        <v>13936</v>
      </c>
      <c r="L89" s="142">
        <f t="shared" si="34"/>
        <v>21</v>
      </c>
      <c r="M89" s="142">
        <f t="shared" si="34"/>
        <v>249479</v>
      </c>
      <c r="N89" s="142">
        <f t="shared" si="34"/>
        <v>6165</v>
      </c>
      <c r="O89" s="142">
        <f t="shared" si="34"/>
        <v>200</v>
      </c>
      <c r="P89" s="142">
        <f t="shared" si="34"/>
        <v>11660</v>
      </c>
      <c r="Q89" s="142">
        <f t="shared" si="34"/>
        <v>7096</v>
      </c>
      <c r="R89" s="142">
        <f t="shared" si="34"/>
        <v>0</v>
      </c>
      <c r="S89" s="142">
        <f t="shared" si="34"/>
        <v>8935</v>
      </c>
      <c r="T89" s="142">
        <f t="shared" si="34"/>
        <v>19394</v>
      </c>
      <c r="U89" s="142">
        <f t="shared" si="34"/>
        <v>195</v>
      </c>
      <c r="V89" s="142">
        <f t="shared" si="34"/>
        <v>6204</v>
      </c>
      <c r="W89" s="142">
        <f t="shared" si="34"/>
        <v>15776</v>
      </c>
      <c r="X89" s="142">
        <f t="shared" si="34"/>
        <v>1214</v>
      </c>
      <c r="Y89" s="142">
        <f t="shared" si="34"/>
        <v>2880</v>
      </c>
      <c r="Z89" s="142">
        <f t="shared" si="34"/>
        <v>0</v>
      </c>
      <c r="AA89" s="142">
        <f t="shared" si="34"/>
        <v>5725</v>
      </c>
      <c r="AB89" s="142">
        <f t="shared" si="34"/>
        <v>878</v>
      </c>
      <c r="AC89" s="142">
        <f t="shared" si="34"/>
        <v>2162</v>
      </c>
      <c r="AD89" s="142">
        <f t="shared" si="34"/>
        <v>0</v>
      </c>
      <c r="AE89" s="142">
        <f t="shared" si="34"/>
        <v>0</v>
      </c>
      <c r="AF89" s="142">
        <f t="shared" si="34"/>
        <v>0</v>
      </c>
      <c r="AG89" s="142">
        <f t="shared" si="34"/>
        <v>500</v>
      </c>
      <c r="AH89" s="142">
        <f t="shared" si="34"/>
        <v>195</v>
      </c>
      <c r="AI89" s="142">
        <f t="shared" si="34"/>
        <v>400</v>
      </c>
      <c r="AJ89" s="142">
        <f t="shared" si="34"/>
        <v>207</v>
      </c>
      <c r="AK89" s="142">
        <f t="shared" si="34"/>
        <v>593</v>
      </c>
      <c r="AL89" s="142">
        <f t="shared" si="34"/>
        <v>223</v>
      </c>
      <c r="AM89" s="142">
        <f t="shared" si="34"/>
        <v>473</v>
      </c>
      <c r="AN89" s="142">
        <f t="shared" si="34"/>
        <v>2750</v>
      </c>
      <c r="AO89" s="142">
        <f t="shared" si="34"/>
        <v>3949</v>
      </c>
      <c r="AP89" s="142">
        <f t="shared" si="34"/>
        <v>390</v>
      </c>
      <c r="AQ89" s="142">
        <f t="shared" si="34"/>
        <v>0</v>
      </c>
      <c r="AR89" s="142">
        <f t="shared" si="34"/>
        <v>5903</v>
      </c>
      <c r="AS89" s="142">
        <f t="shared" si="34"/>
        <v>1194</v>
      </c>
      <c r="AT89" s="142">
        <f t="shared" si="34"/>
        <v>1587</v>
      </c>
      <c r="AU89" s="142">
        <f t="shared" si="34"/>
        <v>901</v>
      </c>
      <c r="AV89" s="142">
        <f t="shared" si="34"/>
        <v>6942</v>
      </c>
      <c r="AW89" s="142">
        <f t="shared" si="34"/>
        <v>664</v>
      </c>
      <c r="AX89" s="142">
        <f aca="true" t="shared" si="35" ref="AX89:BC89">AX85+AX69</f>
        <v>425817</v>
      </c>
      <c r="AY89" s="142">
        <f t="shared" si="35"/>
        <v>0</v>
      </c>
      <c r="AZ89" s="142">
        <f>AZ85+AZ69</f>
        <v>3555</v>
      </c>
      <c r="BA89" s="142">
        <f>BA85+BA69</f>
        <v>49466</v>
      </c>
      <c r="BB89" s="142">
        <f>BB85+BB69</f>
        <v>1341</v>
      </c>
      <c r="BC89" s="142">
        <f t="shared" si="35"/>
        <v>54362</v>
      </c>
      <c r="BD89" s="142">
        <f>BD85+BD69</f>
        <v>480179</v>
      </c>
      <c r="BE89" s="142">
        <f>BE85+BE69</f>
        <v>299</v>
      </c>
      <c r="BF89" s="44">
        <f>BF69+BF85</f>
        <v>299</v>
      </c>
      <c r="BG89" s="45">
        <f>BG69+BG85</f>
        <v>480478</v>
      </c>
      <c r="BH89" s="163">
        <f>BG89-'[3]2011_ktgv_részletező_tábla'!BG89</f>
        <v>41367.382523486915</v>
      </c>
    </row>
    <row r="90" ht="12.75">
      <c r="BH90" s="163"/>
    </row>
    <row r="91" ht="12.75">
      <c r="BH91" s="163"/>
    </row>
    <row r="92" spans="1:60" s="53" customFormat="1" ht="15.75">
      <c r="A92" s="49"/>
      <c r="B92" s="50" t="s">
        <v>89</v>
      </c>
      <c r="C92" s="145"/>
      <c r="D92" s="145"/>
      <c r="E92" s="145"/>
      <c r="F92" s="145">
        <v>5.5</v>
      </c>
      <c r="G92" s="145"/>
      <c r="H92" s="145"/>
      <c r="I92" s="145"/>
      <c r="J92" s="145"/>
      <c r="K92" s="145">
        <v>1</v>
      </c>
      <c r="M92" s="145">
        <v>9.75</v>
      </c>
      <c r="N92" s="145">
        <v>1</v>
      </c>
      <c r="P92" s="145"/>
      <c r="Q92" s="145">
        <v>1</v>
      </c>
      <c r="S92" s="145"/>
      <c r="T92" s="145"/>
      <c r="U92" s="145"/>
      <c r="V92" s="145">
        <v>1.75</v>
      </c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>
        <v>1</v>
      </c>
      <c r="AQ92" s="145"/>
      <c r="AR92" s="145">
        <v>1.17</v>
      </c>
      <c r="AS92" s="145">
        <v>7.01</v>
      </c>
      <c r="AT92" s="145">
        <f>0.41+0.92</f>
        <v>1.33</v>
      </c>
      <c r="AU92" s="145">
        <v>0.2</v>
      </c>
      <c r="AV92" s="145">
        <v>2</v>
      </c>
      <c r="AX92" s="145"/>
      <c r="AY92" s="145"/>
      <c r="AZ92" s="145"/>
      <c r="BA92" s="145">
        <v>17.75</v>
      </c>
      <c r="BB92" s="145">
        <v>0.5</v>
      </c>
      <c r="BD92" s="52"/>
      <c r="BE92" s="52"/>
      <c r="BF92" s="52"/>
      <c r="BG92" s="51">
        <f>SUM(C92:BF92)</f>
        <v>50.959999999999994</v>
      </c>
      <c r="BH92" s="163"/>
    </row>
    <row r="93" spans="58:59" ht="12.75">
      <c r="BF93" s="3" t="s">
        <v>90</v>
      </c>
      <c r="BG93" s="162">
        <f>C92+Q92-1+AR92+AS92</f>
        <v>8.18</v>
      </c>
    </row>
    <row r="94" spans="6:58" ht="12.75">
      <c r="F94" s="4" t="s">
        <v>91</v>
      </c>
      <c r="K94" s="4" t="s">
        <v>92</v>
      </c>
      <c r="M94" s="4" t="s">
        <v>93</v>
      </c>
      <c r="N94" s="4" t="s">
        <v>94</v>
      </c>
      <c r="Q94" s="4" t="s">
        <v>95</v>
      </c>
      <c r="V94" s="4" t="s">
        <v>96</v>
      </c>
      <c r="AO94" s="4" t="s">
        <v>97</v>
      </c>
      <c r="AT94" s="4" t="s">
        <v>211</v>
      </c>
      <c r="AU94" s="4" t="s">
        <v>98</v>
      </c>
      <c r="AV94" s="4" t="s">
        <v>99</v>
      </c>
      <c r="AZ94" s="2">
        <v>1</v>
      </c>
      <c r="BA94" s="4" t="s">
        <v>100</v>
      </c>
      <c r="BB94" s="4" t="s">
        <v>101</v>
      </c>
      <c r="BF94" s="3" t="s">
        <v>102</v>
      </c>
    </row>
    <row r="95" spans="6:59" ht="12.75">
      <c r="F95" s="4" t="s">
        <v>103</v>
      </c>
      <c r="M95" s="4" t="s">
        <v>104</v>
      </c>
      <c r="V95" s="4" t="s">
        <v>106</v>
      </c>
      <c r="AT95" s="4" t="s">
        <v>105</v>
      </c>
      <c r="AV95" s="4" t="s">
        <v>107</v>
      </c>
      <c r="AZ95" s="2">
        <v>2</v>
      </c>
      <c r="BA95" s="4" t="s">
        <v>108</v>
      </c>
      <c r="BF95" s="3" t="s">
        <v>109</v>
      </c>
      <c r="BG95" s="2">
        <f>BG92-BG93</f>
        <v>42.779999999999994</v>
      </c>
    </row>
    <row r="96" spans="6:53" ht="12.75">
      <c r="F96" s="4" t="s">
        <v>110</v>
      </c>
      <c r="M96" s="4" t="s">
        <v>111</v>
      </c>
      <c r="AZ96" s="2">
        <v>3</v>
      </c>
      <c r="BA96" s="1" t="s">
        <v>112</v>
      </c>
    </row>
    <row r="97" spans="6:53" ht="12.75">
      <c r="F97" s="4" t="s">
        <v>113</v>
      </c>
      <c r="M97" s="4" t="s">
        <v>114</v>
      </c>
      <c r="AZ97" s="2">
        <v>4</v>
      </c>
      <c r="BA97" s="4" t="s">
        <v>115</v>
      </c>
    </row>
    <row r="98" spans="6:53" ht="12.75">
      <c r="F98" s="4" t="s">
        <v>116</v>
      </c>
      <c r="M98" s="4" t="s">
        <v>117</v>
      </c>
      <c r="AZ98" s="2">
        <v>5</v>
      </c>
      <c r="BA98" s="4" t="s">
        <v>118</v>
      </c>
    </row>
    <row r="99" spans="6:53" ht="12.75">
      <c r="F99" s="4" t="s">
        <v>119</v>
      </c>
      <c r="M99" s="4" t="s">
        <v>120</v>
      </c>
      <c r="AZ99" s="2">
        <v>6</v>
      </c>
      <c r="BA99" s="4" t="s">
        <v>121</v>
      </c>
    </row>
    <row r="100" spans="6:53" ht="12.75">
      <c r="F100" s="4" t="s">
        <v>119</v>
      </c>
      <c r="M100" s="4" t="s">
        <v>122</v>
      </c>
      <c r="AZ100" s="2">
        <v>7</v>
      </c>
      <c r="BA100" s="4" t="s">
        <v>123</v>
      </c>
    </row>
    <row r="101" spans="13:53" ht="12.75">
      <c r="M101" s="4" t="s">
        <v>124</v>
      </c>
      <c r="AZ101" s="2">
        <v>8</v>
      </c>
      <c r="BA101" s="4" t="s">
        <v>125</v>
      </c>
    </row>
    <row r="102" spans="13:53" ht="12.75">
      <c r="M102" s="4" t="s">
        <v>126</v>
      </c>
      <c r="AZ102" s="2">
        <v>9</v>
      </c>
      <c r="BA102" s="4" t="s">
        <v>127</v>
      </c>
    </row>
    <row r="103" spans="13:53" ht="12.75">
      <c r="M103" s="4" t="s">
        <v>128</v>
      </c>
      <c r="AZ103" s="2">
        <v>10</v>
      </c>
      <c r="BA103" s="4" t="s">
        <v>129</v>
      </c>
    </row>
    <row r="104" spans="52:53" ht="12.75">
      <c r="AZ104" s="2">
        <v>11</v>
      </c>
      <c r="BA104" s="4" t="s">
        <v>130</v>
      </c>
    </row>
    <row r="105" spans="52:53" ht="12.75">
      <c r="AZ105" s="2">
        <v>12</v>
      </c>
      <c r="BA105" s="4" t="s">
        <v>131</v>
      </c>
    </row>
    <row r="106" spans="52:53" ht="12.75">
      <c r="AZ106" s="2">
        <v>13</v>
      </c>
      <c r="BA106" s="4" t="s">
        <v>132</v>
      </c>
    </row>
    <row r="107" spans="52:53" ht="12.75">
      <c r="AZ107" s="2">
        <v>14</v>
      </c>
      <c r="BA107" s="4" t="s">
        <v>133</v>
      </c>
    </row>
    <row r="108" spans="52:53" ht="12.75">
      <c r="AZ108" s="2">
        <v>15</v>
      </c>
      <c r="BA108" s="4" t="s">
        <v>134</v>
      </c>
    </row>
    <row r="109" spans="52:53" ht="12.75">
      <c r="AZ109" s="2">
        <v>16</v>
      </c>
      <c r="BA109" s="4" t="s">
        <v>135</v>
      </c>
    </row>
    <row r="110" spans="52:53" ht="12.75">
      <c r="AZ110" s="2">
        <v>17</v>
      </c>
      <c r="BA110" s="4" t="s">
        <v>136</v>
      </c>
    </row>
    <row r="111" spans="52:53" ht="12.75">
      <c r="AZ111" s="2">
        <v>18</v>
      </c>
      <c r="BA111" s="4" t="s">
        <v>137</v>
      </c>
    </row>
    <row r="112" ht="12.75">
      <c r="AZ112" s="2">
        <v>19</v>
      </c>
    </row>
    <row r="113" ht="12.75">
      <c r="AZ113" s="2">
        <v>20</v>
      </c>
    </row>
  </sheetData>
  <sheetProtection selectLockedCells="1"/>
  <mergeCells count="19">
    <mergeCell ref="BF52:BF54"/>
    <mergeCell ref="A1:AA1"/>
    <mergeCell ref="A2:B4"/>
    <mergeCell ref="C2:AB2"/>
    <mergeCell ref="AC2:AW2"/>
    <mergeCell ref="AX2:AX4"/>
    <mergeCell ref="AY2:BB2"/>
    <mergeCell ref="BD2:BD4"/>
    <mergeCell ref="BD52:BD54"/>
    <mergeCell ref="BG52:BG54"/>
    <mergeCell ref="BC2:BC4"/>
    <mergeCell ref="BF2:BF4"/>
    <mergeCell ref="BG2:BG4"/>
    <mergeCell ref="A52:B54"/>
    <mergeCell ref="C52:AB52"/>
    <mergeCell ref="AC52:AW52"/>
    <mergeCell ref="AX52:AX54"/>
    <mergeCell ref="AY52:BB52"/>
    <mergeCell ref="BC52:BC54"/>
  </mergeCells>
  <printOptions horizontalCentered="1" verticalCentered="1"/>
  <pageMargins left="0.3937007874015748" right="0.3937007874015748" top="0" bottom="0.15748031496062992" header="0.5118110236220472" footer="0.15748031496062992"/>
  <pageSetup horizontalDpi="600" verticalDpi="600" orientation="landscape" paperSize="8" scale="53" r:id="rId4"/>
  <headerFooter alignWithMargins="0">
    <oddFooter>&amp;C&amp;P</oddFooter>
  </headerFooter>
  <colBreaks count="1" manualBreakCount="1">
    <brk id="28" max="65535" man="1"/>
  </colBreak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D56"/>
  <sheetViews>
    <sheetView view="pageBreakPreview" zoomScaleSheetLayoutView="100" zoomScalePageLayoutView="0" workbookViewId="0" topLeftCell="A32">
      <selection activeCell="B57" sqref="B57"/>
    </sheetView>
  </sheetViews>
  <sheetFormatPr defaultColWidth="9.140625" defaultRowHeight="15"/>
  <cols>
    <col min="1" max="1" width="69.28125" style="64" customWidth="1"/>
    <col min="2" max="2" width="28.28125" style="64" customWidth="1"/>
    <col min="3" max="16384" width="9.140625" style="2" customWidth="1"/>
  </cols>
  <sheetData>
    <row r="1" spans="1:2" ht="12.75">
      <c r="A1" s="660" t="s">
        <v>143</v>
      </c>
      <c r="B1" s="660"/>
    </row>
    <row r="2" spans="1:3" ht="12.75">
      <c r="A2" s="2"/>
      <c r="B2" s="65" t="s">
        <v>202</v>
      </c>
      <c r="C2" s="66"/>
    </row>
    <row r="3" ht="15" customHeight="1">
      <c r="A3" s="64" t="s">
        <v>185</v>
      </c>
    </row>
    <row r="4" ht="15" hidden="1"/>
    <row r="5" spans="1:2" ht="45" customHeight="1">
      <c r="A5" s="661" t="s">
        <v>195</v>
      </c>
      <c r="B5" s="661"/>
    </row>
    <row r="6" ht="10.5" customHeight="1"/>
    <row r="7" ht="15" hidden="1">
      <c r="A7" s="67" t="s">
        <v>185</v>
      </c>
    </row>
    <row r="8" ht="15">
      <c r="B8" s="68" t="s">
        <v>186</v>
      </c>
    </row>
    <row r="9" spans="1:2" s="59" customFormat="1" ht="24.75" customHeight="1" thickBot="1">
      <c r="A9" s="69" t="s">
        <v>187</v>
      </c>
      <c r="B9" s="70" t="s">
        <v>188</v>
      </c>
    </row>
    <row r="10" spans="1:2" s="59" customFormat="1" ht="15" customHeight="1" thickTop="1">
      <c r="A10" s="71" t="str">
        <f>'[1]K_felújítás'!C5</f>
        <v>Polgármesteri Hivatal felújítás </v>
      </c>
      <c r="B10" s="72">
        <f>'[1]K_felújítás'!D5</f>
        <v>500</v>
      </c>
    </row>
    <row r="11" spans="1:2" s="59" customFormat="1" ht="15" customHeight="1">
      <c r="A11" s="71" t="str">
        <f>'[1]K_felújítás'!C6</f>
        <v>Felsőfarkasd iskolaépület felújítás</v>
      </c>
      <c r="B11" s="72">
        <f>'[1]K_felújítás'!D6</f>
        <v>400</v>
      </c>
    </row>
    <row r="12" spans="1:2" s="59" customFormat="1" ht="15.75">
      <c r="A12" s="73" t="str">
        <f>'[1]K_felújítás'!C7</f>
        <v>Óvoda felújítás (tornaterem szigetelés, elektromos hálózat, udvar)</v>
      </c>
      <c r="B12" s="72">
        <f>'[1]K_felújítás'!D7</f>
        <v>1000</v>
      </c>
    </row>
    <row r="13" spans="1:2" s="59" customFormat="1" ht="15" customHeight="1">
      <c r="A13" s="71" t="str">
        <f>'[1]K_felújítás'!C8</f>
        <v>Szemere Huba pinceomlás</v>
      </c>
      <c r="B13" s="72">
        <v>3888</v>
      </c>
    </row>
    <row r="14" spans="1:2" s="59" customFormat="1" ht="15" customHeight="1">
      <c r="A14" s="71" t="str">
        <f>'[1]K_felújítás'!C9</f>
        <v>Szemők Balázs tér - pihenő terület</v>
      </c>
      <c r="B14" s="72">
        <f>'[1]K_felújítás'!D9</f>
        <v>90</v>
      </c>
    </row>
    <row r="15" spans="1:2" s="59" customFormat="1" ht="15" customHeight="1">
      <c r="A15" s="71" t="str">
        <f>'[1]K_felújítás'!C10</f>
        <v>Jókai u. 21. felújítása </v>
      </c>
      <c r="B15" s="72">
        <f>'[1]K_felújítás'!D10</f>
        <v>1000</v>
      </c>
    </row>
    <row r="16" spans="1:2" s="59" customFormat="1" ht="15" customHeight="1">
      <c r="A16" s="71" t="str">
        <f>'[1]K_felújítás'!C11</f>
        <v>Gombai úti - Jókai úti járda felújítás fedezete</v>
      </c>
      <c r="B16" s="72">
        <f>'[1]K_felújítás'!D11</f>
        <v>2464</v>
      </c>
    </row>
    <row r="17" spans="1:2" s="59" customFormat="1" ht="15" customHeight="1">
      <c r="A17" s="71" t="str">
        <f>'[1]K_felújítás'!C14</f>
        <v>Felsőfarkasdi ravatalozó ajtó és előtető felújítás</v>
      </c>
      <c r="B17" s="72">
        <f>'[1]K_felújítás'!D14</f>
        <v>200</v>
      </c>
    </row>
    <row r="18" spans="1:2" s="59" customFormat="1" ht="15" customHeight="1">
      <c r="A18" s="71" t="str">
        <f>'[1]K_felújítás'!C15</f>
        <v>Rákóczi úti temető ravatalozó felújítás </v>
      </c>
      <c r="B18" s="72">
        <f>'[1]K_felújítás'!D15</f>
        <v>400</v>
      </c>
    </row>
    <row r="19" spans="1:2" ht="36" customHeight="1">
      <c r="A19" s="74" t="s">
        <v>189</v>
      </c>
      <c r="B19" s="75">
        <f>SUM(B10:B18)</f>
        <v>9942</v>
      </c>
    </row>
    <row r="20" spans="1:2" ht="12.75" customHeight="1">
      <c r="A20" s="662"/>
      <c r="B20" s="662"/>
    </row>
    <row r="21" spans="1:2" s="78" customFormat="1" ht="21.75" customHeight="1" thickBot="1">
      <c r="A21" s="76" t="s">
        <v>190</v>
      </c>
      <c r="B21" s="77" t="s">
        <v>188</v>
      </c>
    </row>
    <row r="22" spans="1:2" s="59" customFormat="1" ht="15" customHeight="1" thickTop="1">
      <c r="A22" s="73" t="str">
        <f>'[1]K_beruhazas'!C6</f>
        <v>Útalap építés (Bercsényi u. vége)</v>
      </c>
      <c r="B22" s="72">
        <f>'[1]K_beruhazas'!D6</f>
        <v>2000</v>
      </c>
    </row>
    <row r="23" spans="1:2" s="59" customFormat="1" ht="15" customHeight="1">
      <c r="A23" s="73" t="str">
        <f>'[1]K_beruhazas'!C7</f>
        <v>Útalap építés (Gombai-Liliom köz) ktg 2/13-ada</v>
      </c>
      <c r="B23" s="72">
        <f>'[1]K_beruhazas'!D7</f>
        <v>450</v>
      </c>
    </row>
    <row r="24" spans="1:2" s="59" customFormat="1" ht="15" customHeight="1">
      <c r="A24" s="73" t="str">
        <f>'[1]K_beruhazas'!C10</f>
        <v>Rendezvényház eszközbeszerzése </v>
      </c>
      <c r="B24" s="72">
        <v>0</v>
      </c>
    </row>
    <row r="25" spans="1:2" s="59" customFormat="1" ht="15.75">
      <c r="A25" s="73" t="str">
        <f>'[1]K_beruhazas'!C14</f>
        <v>KEOP I. forduló megvalósítás saját forrás </v>
      </c>
      <c r="B25" s="72">
        <f>'[1]K_beruhazas'!D14</f>
        <v>1703</v>
      </c>
    </row>
    <row r="26" spans="1:2" s="59" customFormat="1" ht="15" customHeight="1">
      <c r="A26" s="73" t="str">
        <f>'[1]K_beruhazas'!C15</f>
        <v>Rendezvényház I. rész II. ütem</v>
      </c>
      <c r="B26" s="72">
        <f>'[1]K_beruhazas'!D15</f>
        <v>24575</v>
      </c>
    </row>
    <row r="27" spans="1:2" s="59" customFormat="1" ht="15" customHeight="1">
      <c r="A27" s="73" t="str">
        <f>'[1]K_beruhazas'!C16</f>
        <v>Rendezvényház I. rész III. ütem</v>
      </c>
      <c r="B27" s="72">
        <f>'[1]K_beruhazas'!D16</f>
        <v>5920</v>
      </c>
    </row>
    <row r="28" spans="1:2" s="59" customFormat="1" ht="15" customHeight="1">
      <c r="A28" s="73" t="str">
        <f>'[1]K_beruhazas'!C17</f>
        <v>Rendezvényház I. rész ÁFA</v>
      </c>
      <c r="B28" s="72">
        <f>'[1]K_beruhazas'!D17</f>
        <v>7623.75</v>
      </c>
    </row>
    <row r="29" spans="1:2" s="59" customFormat="1" ht="15" customHeight="1">
      <c r="A29" s="73" t="str">
        <f>'[1]K_beruhazas'!C18</f>
        <v>Rendezvényház II. rész </v>
      </c>
      <c r="B29" s="72">
        <f>'[1]K_beruhazas'!D18</f>
        <v>18080</v>
      </c>
    </row>
    <row r="30" spans="1:4" s="59" customFormat="1" ht="15" customHeight="1">
      <c r="A30" s="73" t="str">
        <f>'[1]K_beruhazas'!C19</f>
        <v>Rendezvényház III. rész </v>
      </c>
      <c r="B30" s="72">
        <f>'[1]K_beruhazas'!D19</f>
        <v>18846</v>
      </c>
      <c r="D30" s="58"/>
    </row>
    <row r="31" spans="1:2" s="59" customFormat="1" ht="15" customHeight="1">
      <c r="A31" s="73" t="str">
        <f>'[1]K_beruhazas'!C20</f>
        <v>Rendezvényház IV. rész </v>
      </c>
      <c r="B31" s="72">
        <f>'[1]K_beruhazas'!D20</f>
        <v>9422</v>
      </c>
    </row>
    <row r="32" spans="1:2" s="59" customFormat="1" ht="15" customHeight="1">
      <c r="A32" s="73" t="str">
        <f>'[1]K_beruhazas'!C21</f>
        <v>Rendezvényház II_IV. rész ÁFA</v>
      </c>
      <c r="B32" s="72">
        <f>'[1]K_beruhazas'!D21</f>
        <v>11587</v>
      </c>
    </row>
    <row r="33" spans="1:2" s="59" customFormat="1" ht="15" customHeight="1">
      <c r="A33" s="73" t="str">
        <f>'[1]K_beruhazas'!C22</f>
        <v>Rendezvényház V. rész </v>
      </c>
      <c r="B33" s="72">
        <f>'[1]K_beruhazas'!D22</f>
        <v>4998</v>
      </c>
    </row>
    <row r="34" spans="1:2" s="59" customFormat="1" ht="15" customHeight="1">
      <c r="A34" s="73" t="str">
        <f>'[1]K_beruhazas'!C23</f>
        <v>Rendezvényház V. rész ÁFA</v>
      </c>
      <c r="B34" s="72">
        <f>'[1]K_beruhazas'!D23</f>
        <v>1249.5</v>
      </c>
    </row>
    <row r="35" spans="1:2" s="59" customFormat="1" ht="15" customHeight="1">
      <c r="A35" s="73" t="str">
        <f>'[1]K_beruhazas'!C24</f>
        <v>Rendezvényház építés szakértői díjai</v>
      </c>
      <c r="B35" s="72">
        <f>'[1]K_beruhazas'!D24</f>
        <v>2625</v>
      </c>
    </row>
    <row r="36" spans="1:2" s="59" customFormat="1" ht="15" customHeight="1">
      <c r="A36" s="73" t="str">
        <f>'[1]K_beruhazas'!C25</f>
        <v>Rendezvényház villany-gáz közműfejlesztés</v>
      </c>
      <c r="B36" s="72">
        <f>'[1]K_beruhazas'!D25</f>
        <v>1000</v>
      </c>
    </row>
    <row r="37" spans="1:2" s="59" customFormat="1" ht="15" customHeight="1">
      <c r="A37" s="73" t="s">
        <v>207</v>
      </c>
      <c r="B37" s="72">
        <v>5329</v>
      </c>
    </row>
    <row r="38" spans="1:2" s="59" customFormat="1" ht="15" customHeight="1">
      <c r="A38" s="73" t="s">
        <v>206</v>
      </c>
      <c r="B38" s="72">
        <v>1004</v>
      </c>
    </row>
    <row r="39" spans="1:2" s="59" customFormat="1" ht="15" customHeight="1">
      <c r="A39" s="73" t="s">
        <v>205</v>
      </c>
      <c r="B39" s="72">
        <v>200</v>
      </c>
    </row>
    <row r="40" spans="1:2" s="59" customFormat="1" ht="15" customHeight="1">
      <c r="A40" s="73" t="str">
        <f>'[1]K_beruhazas'!C26</f>
        <v>Kölcsey partfalomlás helyreállítás hiányzó fedezete</v>
      </c>
      <c r="B40" s="72">
        <f>'[1]K_beruhazas'!D26+800</f>
        <v>3488</v>
      </c>
    </row>
    <row r="41" spans="1:2" s="59" customFormat="1" ht="15" customHeight="1">
      <c r="A41" s="73" t="str">
        <f>'[1]K_beruhazas'!C27</f>
        <v>Aratóházaspár utca szennyvízbővítés</v>
      </c>
      <c r="B41" s="72">
        <f>'[1]K_beruhazas'!D27</f>
        <v>1875</v>
      </c>
    </row>
    <row r="42" spans="1:4" s="59" customFormat="1" ht="15" customHeight="1">
      <c r="A42" s="73" t="str">
        <f>'[1]K_beruhazas'!C28</f>
        <v>Aratóházaspár utca szennyvízbővítés</v>
      </c>
      <c r="B42" s="72">
        <f>'[1]K_beruhazas'!D28</f>
        <v>300</v>
      </c>
      <c r="D42" s="58"/>
    </row>
    <row r="43" spans="1:2" s="59" customFormat="1" ht="15" customHeight="1">
      <c r="A43" s="73" t="str">
        <f>'[1]K_beruhazas'!C29</f>
        <v>Gombai-Liliom köz víz-csatorna bővítés 2/13-ad része</v>
      </c>
      <c r="B43" s="72">
        <f>'[1]K_beruhazas'!D29</f>
        <v>1200</v>
      </c>
    </row>
    <row r="44" spans="1:2" s="59" customFormat="1" ht="15" customHeight="1">
      <c r="A44" s="73" t="str">
        <f>'[1]K_beruhazas'!C30</f>
        <v>Bercsényi vége víz-csatorna bővítés </v>
      </c>
      <c r="B44" s="72">
        <f>'[1]K_beruhazas'!D30</f>
        <v>5625</v>
      </c>
    </row>
    <row r="45" spans="1:2" s="59" customFormat="1" ht="15" customHeight="1">
      <c r="A45" s="73" t="str">
        <f>'[1]K_beruhazas'!C31</f>
        <v>Fénymásoló beszerzés</v>
      </c>
      <c r="B45" s="72">
        <f>'[1]K_beruhazas'!D31</f>
        <v>706</v>
      </c>
    </row>
    <row r="46" spans="1:2" s="59" customFormat="1" ht="15" customHeight="1">
      <c r="A46" s="71" t="str">
        <f>'[1]K_beruhazas'!C36</f>
        <v>Faluház riasztó bővítés</v>
      </c>
      <c r="B46" s="72">
        <f>'[1]K_beruhazas'!D36</f>
        <v>100</v>
      </c>
    </row>
    <row r="47" spans="1:2" s="59" customFormat="1" ht="15" customHeight="1">
      <c r="A47" s="73" t="str">
        <f>'[1]K_beruhazas'!C32</f>
        <v>Informatikai eszközbeszerzés </v>
      </c>
      <c r="B47" s="72">
        <f>'[1]K_beruhazas'!D32</f>
        <v>300</v>
      </c>
    </row>
    <row r="48" spans="1:2" s="59" customFormat="1" ht="15" customHeight="1">
      <c r="A48" s="73" t="str">
        <f>'[1]K_beruhazas'!C33</f>
        <v>Közvilágítás bővítés</v>
      </c>
      <c r="B48" s="72">
        <f>'[1]K_beruhazas'!D33</f>
        <v>900</v>
      </c>
    </row>
    <row r="49" spans="1:2" s="59" customFormat="1" ht="15" customHeight="1">
      <c r="A49" s="143" t="str">
        <f>'[1]K_beruhazas'!$C$39</f>
        <v>Bercsényi utca vége tereprendezés</v>
      </c>
      <c r="B49" s="144">
        <f>'[1]K_beruhazas'!$D$39</f>
        <v>500</v>
      </c>
    </row>
    <row r="50" spans="1:2" ht="30" customHeight="1">
      <c r="A50" s="79" t="s">
        <v>191</v>
      </c>
      <c r="B50" s="80">
        <f>SUM(B22:B49)</f>
        <v>131606.25</v>
      </c>
    </row>
    <row r="51" spans="1:2" ht="12" customHeight="1">
      <c r="A51" s="81"/>
      <c r="B51" s="82"/>
    </row>
    <row r="52" spans="1:2" s="85" customFormat="1" ht="20.25" customHeight="1">
      <c r="A52" s="83" t="s">
        <v>192</v>
      </c>
      <c r="B52" s="84" t="s">
        <v>188</v>
      </c>
    </row>
    <row r="53" spans="1:2" s="85" customFormat="1" ht="16.5">
      <c r="A53" s="73" t="str">
        <f>'[1]K_felhalm_c_pe'!C7</f>
        <v>Általános iskola fejlesztési c. pénzeszköz átadás</v>
      </c>
      <c r="B53" s="72">
        <f>'[1]K_felhalm_c_pe'!D7</f>
        <v>4508.542431356101</v>
      </c>
    </row>
    <row r="54" spans="1:2" s="85" customFormat="1" ht="16.5">
      <c r="A54" s="73" t="str">
        <f>'[1]K_felhalm_c_pe'!C8</f>
        <v>Életjáradék</v>
      </c>
      <c r="B54" s="72">
        <f>'[1]K_felhalm_c_pe'!D8</f>
        <v>652</v>
      </c>
    </row>
    <row r="55" spans="1:2" ht="15.75">
      <c r="A55" s="86" t="s">
        <v>193</v>
      </c>
      <c r="B55" s="87">
        <f>SUM(B53:B54)</f>
        <v>5160.542431356101</v>
      </c>
    </row>
    <row r="56" spans="1:2" ht="16.5">
      <c r="A56" s="88" t="s">
        <v>194</v>
      </c>
      <c r="B56" s="89">
        <f>B19+B50+B55</f>
        <v>146708.7924313561</v>
      </c>
    </row>
  </sheetData>
  <sheetProtection selectLockedCells="1" selectUnlockedCells="1"/>
  <mergeCells count="3">
    <mergeCell ref="A1:B1"/>
    <mergeCell ref="A5:B5"/>
    <mergeCell ref="A20:B20"/>
  </mergeCells>
  <printOptions horizontalCentered="1" verticalCentered="1"/>
  <pageMargins left="0" right="0" top="0.39375" bottom="0.39375" header="0.5118055555555556" footer="0.5118055555555556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V25"/>
  <sheetViews>
    <sheetView showZeros="0" view="pageBreakPreview" zoomScale="85" zoomScaleSheetLayoutView="85" zoomScalePageLayoutView="0" workbookViewId="0" topLeftCell="A1">
      <pane xSplit="2" ySplit="2" topLeftCell="N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26" sqref="V26"/>
    </sheetView>
  </sheetViews>
  <sheetFormatPr defaultColWidth="9.140625" defaultRowHeight="15"/>
  <cols>
    <col min="1" max="1" width="5.7109375" style="2" customWidth="1"/>
    <col min="2" max="2" width="60.28125" style="2" customWidth="1"/>
    <col min="3" max="5" width="11.7109375" style="2" customWidth="1"/>
    <col min="6" max="21" width="11.7109375" style="4" customWidth="1"/>
    <col min="22" max="22" width="13.28125" style="4" customWidth="1"/>
    <col min="23" max="16384" width="9.140625" style="1" customWidth="1"/>
  </cols>
  <sheetData>
    <row r="1" spans="1:22" s="25" customFormat="1" ht="16.5" customHeight="1" thickBot="1">
      <c r="A1" s="562" t="s">
        <v>234</v>
      </c>
      <c r="B1" s="562"/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562"/>
      <c r="N1" s="562"/>
      <c r="O1" s="562"/>
      <c r="P1" s="562"/>
      <c r="Q1" s="562"/>
      <c r="R1" s="562"/>
      <c r="S1" s="562"/>
      <c r="T1" s="562"/>
      <c r="U1" s="562"/>
      <c r="V1" s="562"/>
    </row>
    <row r="2" spans="1:22" s="14" customFormat="1" ht="126" customHeight="1">
      <c r="A2" s="291" t="s">
        <v>59</v>
      </c>
      <c r="B2" s="302"/>
      <c r="C2" s="221" t="s">
        <v>235</v>
      </c>
      <c r="D2" s="222" t="s">
        <v>236</v>
      </c>
      <c r="E2" s="222" t="s">
        <v>239</v>
      </c>
      <c r="F2" s="223" t="s">
        <v>244</v>
      </c>
      <c r="G2" s="221" t="s">
        <v>237</v>
      </c>
      <c r="H2" s="222" t="s">
        <v>238</v>
      </c>
      <c r="I2" s="222" t="s">
        <v>240</v>
      </c>
      <c r="J2" s="223" t="s">
        <v>241</v>
      </c>
      <c r="K2" s="221" t="s">
        <v>245</v>
      </c>
      <c r="L2" s="222" t="s">
        <v>246</v>
      </c>
      <c r="M2" s="222" t="s">
        <v>247</v>
      </c>
      <c r="N2" s="223" t="s">
        <v>248</v>
      </c>
      <c r="O2" s="305" t="s">
        <v>249</v>
      </c>
      <c r="P2" s="222" t="s">
        <v>250</v>
      </c>
      <c r="Q2" s="222" t="s">
        <v>251</v>
      </c>
      <c r="R2" s="223" t="s">
        <v>252</v>
      </c>
      <c r="S2" s="221" t="s">
        <v>253</v>
      </c>
      <c r="T2" s="222" t="s">
        <v>254</v>
      </c>
      <c r="U2" s="222" t="s">
        <v>255</v>
      </c>
      <c r="V2" s="223" t="s">
        <v>256</v>
      </c>
    </row>
    <row r="3" spans="1:22" s="7" customFormat="1" ht="12" customHeight="1">
      <c r="A3" s="292">
        <v>1</v>
      </c>
      <c r="B3" s="207" t="s">
        <v>4</v>
      </c>
      <c r="C3" s="229">
        <f>'[4]2011_ktgv_részletező_tábla'!AW55</f>
        <v>215731.49381715694</v>
      </c>
      <c r="D3" s="92">
        <f>modositott_ei!AX55</f>
        <v>250779</v>
      </c>
      <c r="E3" s="92">
        <f>6m_teljesitesi_adatok!AX55</f>
        <v>127183</v>
      </c>
      <c r="F3" s="240">
        <f>E3/D3</f>
        <v>0.5071517152552646</v>
      </c>
      <c r="G3" s="229">
        <f>'[4]2011_ktgv_részletező_tábla'!BB55</f>
        <v>54200.488738</v>
      </c>
      <c r="H3" s="92">
        <f>modositott_ei!BC55</f>
        <v>54362</v>
      </c>
      <c r="I3" s="92">
        <f>6m_teljesitesi_adatok!BC55</f>
        <v>24780</v>
      </c>
      <c r="J3" s="240">
        <f>I3/H3</f>
        <v>0.45583311872263715</v>
      </c>
      <c r="K3" s="229">
        <f>G3+C3</f>
        <v>269931.9825551569</v>
      </c>
      <c r="L3" s="92">
        <f>H3+D3</f>
        <v>305141</v>
      </c>
      <c r="M3" s="92">
        <f>I3+E3</f>
        <v>151963</v>
      </c>
      <c r="N3" s="240">
        <f>M3/L3</f>
        <v>0.49800911709668644</v>
      </c>
      <c r="O3" s="220">
        <f>'[4]2011_ktgv_részletező_tábla'!BD55</f>
        <v>299</v>
      </c>
      <c r="P3" s="92">
        <f>modositott_ei!BE55</f>
        <v>299</v>
      </c>
      <c r="Q3" s="92">
        <f>6m_teljesitesi_adatok!BE55</f>
        <v>113</v>
      </c>
      <c r="R3" s="188">
        <f>Q3/P3</f>
        <v>0.3779264214046823</v>
      </c>
      <c r="S3" s="92">
        <f>K3+O3</f>
        <v>270230.9825551569</v>
      </c>
      <c r="T3" s="92">
        <f>L3+P3</f>
        <v>305440</v>
      </c>
      <c r="U3" s="92">
        <f>M3+Q3</f>
        <v>152076</v>
      </c>
      <c r="V3" s="240">
        <f>U3/T3</f>
        <v>0.49789156626506026</v>
      </c>
    </row>
    <row r="4" spans="1:22" s="7" customFormat="1" ht="12.75">
      <c r="A4" s="293"/>
      <c r="B4" s="303" t="s">
        <v>174</v>
      </c>
      <c r="C4" s="227">
        <f>'[4]2011_ktgv_részletező_tábla'!AW56</f>
        <v>70466.92182639273</v>
      </c>
      <c r="D4" s="13">
        <f>modositott_ei!AX56</f>
        <v>72486</v>
      </c>
      <c r="E4" s="13">
        <f>6m_teljesitesi_adatok!AX56</f>
        <v>32741</v>
      </c>
      <c r="F4" s="294">
        <f aca="true" t="shared" si="0" ref="F4:F17">E4/D4</f>
        <v>0.4516872223601799</v>
      </c>
      <c r="G4" s="308">
        <f>'[4]2011_ktgv_részletező_tábla'!BB56</f>
        <v>37447.1495</v>
      </c>
      <c r="H4" s="290">
        <f>modositott_ei!BC56</f>
        <v>37574</v>
      </c>
      <c r="I4" s="290">
        <f>6m_teljesitesi_adatok!BC56</f>
        <v>17900</v>
      </c>
      <c r="J4" s="294">
        <f>I4/H4</f>
        <v>0.47639325065204663</v>
      </c>
      <c r="K4" s="308">
        <f aca="true" t="shared" si="1" ref="K4:K17">G4+C4</f>
        <v>107914.07132639273</v>
      </c>
      <c r="L4" s="290">
        <f aca="true" t="shared" si="2" ref="L4:L17">H4+D4</f>
        <v>110060</v>
      </c>
      <c r="M4" s="290">
        <f aca="true" t="shared" si="3" ref="M4:M17">I4+E4</f>
        <v>50641</v>
      </c>
      <c r="N4" s="294">
        <f aca="true" t="shared" si="4" ref="N4:N17">M4/L4</f>
        <v>0.46012175177176085</v>
      </c>
      <c r="O4" s="306">
        <f>'[4]2011_ktgv_részletező_tábla'!BD56</f>
        <v>0</v>
      </c>
      <c r="P4" s="290">
        <f>modositott_ei!BE56</f>
        <v>0</v>
      </c>
      <c r="Q4" s="290">
        <f>6m_teljesitesi_adatok!BE56</f>
        <v>0</v>
      </c>
      <c r="R4" s="289"/>
      <c r="S4" s="290">
        <f aca="true" t="shared" si="5" ref="S4:S17">K4+O4</f>
        <v>107914.07132639273</v>
      </c>
      <c r="T4" s="290">
        <f aca="true" t="shared" si="6" ref="T4:T17">L4+P4</f>
        <v>110060</v>
      </c>
      <c r="U4" s="290">
        <f aca="true" t="shared" si="7" ref="U4:U17">M4+Q4</f>
        <v>50641</v>
      </c>
      <c r="V4" s="294">
        <f>U4/T4</f>
        <v>0.46012175177176085</v>
      </c>
    </row>
    <row r="5" spans="1:22" s="7" customFormat="1" ht="12.75">
      <c r="A5" s="295"/>
      <c r="B5" s="303" t="s">
        <v>175</v>
      </c>
      <c r="C5" s="227">
        <f>'[4]2011_ktgv_részletező_tábla'!AW57</f>
        <v>19744.230128052015</v>
      </c>
      <c r="D5" s="13">
        <f>modositott_ei!AX57</f>
        <v>20161</v>
      </c>
      <c r="E5" s="13">
        <f>6m_teljesitesi_adatok!AX57</f>
        <v>9116</v>
      </c>
      <c r="F5" s="294">
        <f t="shared" si="0"/>
        <v>0.4521601111055999</v>
      </c>
      <c r="G5" s="308">
        <f>'[4]2011_ktgv_részletező_tábla'!BB57</f>
        <v>10212.484238</v>
      </c>
      <c r="H5" s="290">
        <f>modositott_ei!BC57</f>
        <v>10247</v>
      </c>
      <c r="I5" s="290">
        <f>6m_teljesitesi_adatok!BC57</f>
        <v>4776</v>
      </c>
      <c r="J5" s="294">
        <f>I5/H5</f>
        <v>0.46608763540548453</v>
      </c>
      <c r="K5" s="308">
        <f t="shared" si="1"/>
        <v>29956.714366052016</v>
      </c>
      <c r="L5" s="290">
        <f t="shared" si="2"/>
        <v>30408</v>
      </c>
      <c r="M5" s="290">
        <f t="shared" si="3"/>
        <v>13892</v>
      </c>
      <c r="N5" s="294">
        <f t="shared" si="4"/>
        <v>0.4568534596158906</v>
      </c>
      <c r="O5" s="306">
        <f>'[4]2011_ktgv_részletező_tábla'!BD57</f>
        <v>11</v>
      </c>
      <c r="P5" s="290">
        <f>modositott_ei!BE57</f>
        <v>11</v>
      </c>
      <c r="Q5" s="290">
        <f>6m_teljesitesi_adatok!BE57</f>
        <v>0</v>
      </c>
      <c r="R5" s="289">
        <f>Q5/P5</f>
        <v>0</v>
      </c>
      <c r="S5" s="290">
        <f t="shared" si="5"/>
        <v>29967.714366052016</v>
      </c>
      <c r="T5" s="290">
        <f t="shared" si="6"/>
        <v>30419</v>
      </c>
      <c r="U5" s="290">
        <f t="shared" si="7"/>
        <v>13892</v>
      </c>
      <c r="V5" s="294">
        <f aca="true" t="shared" si="8" ref="V5:V17">U5/T5</f>
        <v>0.45668825405174396</v>
      </c>
    </row>
    <row r="6" spans="1:22" s="7" customFormat="1" ht="12.75">
      <c r="A6" s="295"/>
      <c r="B6" s="303" t="s">
        <v>176</v>
      </c>
      <c r="C6" s="227">
        <f>'[4]2011_ktgv_részletező_tábla'!AW58</f>
        <v>80028.527</v>
      </c>
      <c r="D6" s="13">
        <f>modositott_ei!AX58</f>
        <v>112035</v>
      </c>
      <c r="E6" s="13">
        <f>6m_teljesitesi_adatok!AX58</f>
        <v>69264</v>
      </c>
      <c r="F6" s="294">
        <f t="shared" si="0"/>
        <v>0.6182353728745481</v>
      </c>
      <c r="G6" s="308">
        <f>'[4]2011_ktgv_részletező_tábla'!BB58</f>
        <v>6540.855</v>
      </c>
      <c r="H6" s="290">
        <f>modositott_ei!BC58</f>
        <v>6541</v>
      </c>
      <c r="I6" s="290">
        <f>6m_teljesitesi_adatok!BC58</f>
        <v>2104</v>
      </c>
      <c r="J6" s="294">
        <f>I6/H6</f>
        <v>0.3216633542271824</v>
      </c>
      <c r="K6" s="308">
        <f t="shared" si="1"/>
        <v>86569.382</v>
      </c>
      <c r="L6" s="290">
        <f t="shared" si="2"/>
        <v>118576</v>
      </c>
      <c r="M6" s="290">
        <f t="shared" si="3"/>
        <v>71368</v>
      </c>
      <c r="N6" s="294">
        <f t="shared" si="4"/>
        <v>0.6018755903386858</v>
      </c>
      <c r="O6" s="306">
        <f>'[4]2011_ktgv_részletező_tábla'!BD58</f>
        <v>284</v>
      </c>
      <c r="P6" s="290">
        <f>modositott_ei!BE58</f>
        <v>284</v>
      </c>
      <c r="Q6" s="290">
        <f>6m_teljesitesi_adatok!BE58</f>
        <v>109</v>
      </c>
      <c r="R6" s="289">
        <f>Q6/P6</f>
        <v>0.38380281690140844</v>
      </c>
      <c r="S6" s="290">
        <f t="shared" si="5"/>
        <v>86853.382</v>
      </c>
      <c r="T6" s="290">
        <f t="shared" si="6"/>
        <v>118860</v>
      </c>
      <c r="U6" s="290">
        <f t="shared" si="7"/>
        <v>71477</v>
      </c>
      <c r="V6" s="294">
        <f t="shared" si="8"/>
        <v>0.6013545347467609</v>
      </c>
    </row>
    <row r="7" spans="1:22" s="7" customFormat="1" ht="12.75">
      <c r="A7" s="295"/>
      <c r="B7" s="303" t="s">
        <v>3</v>
      </c>
      <c r="C7" s="227">
        <f>'[4]2011_ktgv_részletező_tábla'!AW59</f>
        <v>7060</v>
      </c>
      <c r="D7" s="13">
        <f>modositott_ei!AX59</f>
        <v>7060</v>
      </c>
      <c r="E7" s="13">
        <f>6m_teljesitesi_adatok!AX59</f>
        <v>3180</v>
      </c>
      <c r="F7" s="294">
        <f t="shared" si="0"/>
        <v>0.45042492917847027</v>
      </c>
      <c r="G7" s="308">
        <f>'[4]2011_ktgv_részletező_tábla'!BB59</f>
        <v>0</v>
      </c>
      <c r="H7" s="290">
        <f>modositott_ei!BC59</f>
        <v>0</v>
      </c>
      <c r="I7" s="290">
        <f>6m_teljesitesi_adatok!BC59</f>
        <v>0</v>
      </c>
      <c r="J7" s="294"/>
      <c r="K7" s="308">
        <f t="shared" si="1"/>
        <v>7060</v>
      </c>
      <c r="L7" s="290">
        <f t="shared" si="2"/>
        <v>7060</v>
      </c>
      <c r="M7" s="290">
        <f t="shared" si="3"/>
        <v>3180</v>
      </c>
      <c r="N7" s="294">
        <f t="shared" si="4"/>
        <v>0.45042492917847027</v>
      </c>
      <c r="O7" s="306">
        <f>'[4]2011_ktgv_részletező_tábla'!BD59</f>
        <v>0</v>
      </c>
      <c r="P7" s="290">
        <f>modositott_ei!BE59</f>
        <v>0</v>
      </c>
      <c r="Q7" s="290">
        <f>6m_teljesitesi_adatok!BE59</f>
        <v>0</v>
      </c>
      <c r="R7" s="289"/>
      <c r="S7" s="290">
        <f t="shared" si="5"/>
        <v>7060</v>
      </c>
      <c r="T7" s="290">
        <f t="shared" si="6"/>
        <v>7060</v>
      </c>
      <c r="U7" s="290">
        <f t="shared" si="7"/>
        <v>3180</v>
      </c>
      <c r="V7" s="294">
        <f t="shared" si="8"/>
        <v>0.45042492917847027</v>
      </c>
    </row>
    <row r="8" spans="1:22" s="7" customFormat="1" ht="12.75">
      <c r="A8" s="295"/>
      <c r="B8" s="303" t="s">
        <v>177</v>
      </c>
      <c r="C8" s="227">
        <f>'[4]2011_ktgv_részletező_tábla'!AW60</f>
        <v>32506.73</v>
      </c>
      <c r="D8" s="13">
        <f>modositott_ei!AX60</f>
        <v>32580</v>
      </c>
      <c r="E8" s="13">
        <f>6m_teljesitesi_adatok!AX60</f>
        <v>14514</v>
      </c>
      <c r="F8" s="294">
        <f t="shared" si="0"/>
        <v>0.44548802946593</v>
      </c>
      <c r="G8" s="308">
        <f>'[4]2011_ktgv_részletező_tábla'!BB60</f>
        <v>0</v>
      </c>
      <c r="H8" s="290">
        <f>modositott_ei!BC60</f>
        <v>0</v>
      </c>
      <c r="I8" s="290">
        <f>6m_teljesitesi_adatok!BC60</f>
        <v>0</v>
      </c>
      <c r="J8" s="294"/>
      <c r="K8" s="308">
        <f t="shared" si="1"/>
        <v>32506.73</v>
      </c>
      <c r="L8" s="290">
        <f t="shared" si="2"/>
        <v>32580</v>
      </c>
      <c r="M8" s="290">
        <f t="shared" si="3"/>
        <v>14514</v>
      </c>
      <c r="N8" s="294">
        <f t="shared" si="4"/>
        <v>0.44548802946593</v>
      </c>
      <c r="O8" s="306">
        <f>'[4]2011_ktgv_részletező_tábla'!BD60</f>
        <v>0</v>
      </c>
      <c r="P8" s="290">
        <f>modositott_ei!BE60</f>
        <v>0</v>
      </c>
      <c r="Q8" s="290">
        <f>6m_teljesitesi_adatok!BE60</f>
        <v>0</v>
      </c>
      <c r="R8" s="289"/>
      <c r="S8" s="290">
        <f t="shared" si="5"/>
        <v>32506.73</v>
      </c>
      <c r="T8" s="290">
        <f t="shared" si="6"/>
        <v>32580</v>
      </c>
      <c r="U8" s="290">
        <f t="shared" si="7"/>
        <v>14514</v>
      </c>
      <c r="V8" s="294">
        <f t="shared" si="8"/>
        <v>0.44548802946593</v>
      </c>
    </row>
    <row r="9" spans="1:22" s="12" customFormat="1" ht="12.75">
      <c r="A9" s="296"/>
      <c r="B9" s="304" t="s">
        <v>178</v>
      </c>
      <c r="C9" s="227">
        <f>'[4]2011_ktgv_részletező_tábla'!AW61</f>
        <v>12985.084862712201</v>
      </c>
      <c r="D9" s="13">
        <f>modositott_ei!AX61</f>
        <v>13517</v>
      </c>
      <c r="E9" s="13">
        <f>6m_teljesitesi_adatok!AX61</f>
        <v>1548</v>
      </c>
      <c r="F9" s="294">
        <f t="shared" si="0"/>
        <v>0.11452245320707258</v>
      </c>
      <c r="G9" s="308">
        <f>'[4]2011_ktgv_részletező_tábla'!BB61</f>
        <v>0</v>
      </c>
      <c r="H9" s="290">
        <f>modositott_ei!BC61</f>
        <v>0</v>
      </c>
      <c r="I9" s="290">
        <f>6m_teljesitesi_adatok!BC61</f>
        <v>0</v>
      </c>
      <c r="J9" s="294"/>
      <c r="K9" s="308">
        <f t="shared" si="1"/>
        <v>12985.084862712201</v>
      </c>
      <c r="L9" s="290">
        <f t="shared" si="2"/>
        <v>13517</v>
      </c>
      <c r="M9" s="290">
        <f t="shared" si="3"/>
        <v>1548</v>
      </c>
      <c r="N9" s="294">
        <f t="shared" si="4"/>
        <v>0.11452245320707258</v>
      </c>
      <c r="O9" s="306">
        <f>'[4]2011_ktgv_részletező_tábla'!BD61</f>
        <v>4</v>
      </c>
      <c r="P9" s="290">
        <f>modositott_ei!BE61</f>
        <v>4</v>
      </c>
      <c r="Q9" s="290">
        <f>6m_teljesitesi_adatok!BE61</f>
        <v>4</v>
      </c>
      <c r="R9" s="289">
        <f>Q9/P9</f>
        <v>1</v>
      </c>
      <c r="S9" s="290">
        <f t="shared" si="5"/>
        <v>12989.084862712201</v>
      </c>
      <c r="T9" s="290">
        <f t="shared" si="6"/>
        <v>13521</v>
      </c>
      <c r="U9" s="290">
        <f t="shared" si="7"/>
        <v>1552</v>
      </c>
      <c r="V9" s="294">
        <f t="shared" si="8"/>
        <v>0.1147844094371718</v>
      </c>
    </row>
    <row r="10" spans="1:22" s="12" customFormat="1" ht="12" customHeight="1">
      <c r="A10" s="297">
        <v>2</v>
      </c>
      <c r="B10" s="207" t="s">
        <v>2</v>
      </c>
      <c r="C10" s="229">
        <f>'[4]2011_ktgv_részletező_tábla'!AW62</f>
        <v>137154.7924313561</v>
      </c>
      <c r="D10" s="92">
        <f>modositott_ei!AX62</f>
        <v>146709</v>
      </c>
      <c r="E10" s="92">
        <f>6m_teljesitesi_adatok!AX62</f>
        <v>123713</v>
      </c>
      <c r="F10" s="240">
        <f t="shared" si="0"/>
        <v>0.8432543334083117</v>
      </c>
      <c r="G10" s="229">
        <f>'[4]2011_ktgv_részletező_tábla'!BB62</f>
        <v>0</v>
      </c>
      <c r="H10" s="92">
        <f>modositott_ei!BC62</f>
        <v>0</v>
      </c>
      <c r="I10" s="92">
        <f>6m_teljesitesi_adatok!BC62</f>
        <v>0</v>
      </c>
      <c r="J10" s="240"/>
      <c r="K10" s="229">
        <f t="shared" si="1"/>
        <v>137154.7924313561</v>
      </c>
      <c r="L10" s="92">
        <f t="shared" si="2"/>
        <v>146709</v>
      </c>
      <c r="M10" s="92">
        <f t="shared" si="3"/>
        <v>123713</v>
      </c>
      <c r="N10" s="240">
        <f t="shared" si="4"/>
        <v>0.8432543334083117</v>
      </c>
      <c r="O10" s="220">
        <f>'[4]2011_ktgv_részletező_tábla'!BD62</f>
        <v>0</v>
      </c>
      <c r="P10" s="92">
        <f>modositott_ei!BE62</f>
        <v>0</v>
      </c>
      <c r="Q10" s="92">
        <f>6m_teljesitesi_adatok!BE62</f>
        <v>0</v>
      </c>
      <c r="R10" s="188"/>
      <c r="S10" s="92">
        <f t="shared" si="5"/>
        <v>137154.7924313561</v>
      </c>
      <c r="T10" s="92">
        <f t="shared" si="6"/>
        <v>146709</v>
      </c>
      <c r="U10" s="92">
        <f t="shared" si="7"/>
        <v>123713</v>
      </c>
      <c r="V10" s="240">
        <f t="shared" si="8"/>
        <v>0.8432543334083117</v>
      </c>
    </row>
    <row r="11" spans="1:22" s="7" customFormat="1" ht="12.75">
      <c r="A11" s="293"/>
      <c r="B11" s="303" t="s">
        <v>179</v>
      </c>
      <c r="C11" s="227">
        <f>'[4]2011_ktgv_részletező_tábla'!AW63</f>
        <v>124773.25</v>
      </c>
      <c r="D11" s="13">
        <f>modositott_ei!AX63</f>
        <v>131606</v>
      </c>
      <c r="E11" s="13">
        <f>6m_teljesitesi_adatok!AX63</f>
        <v>117042</v>
      </c>
      <c r="F11" s="294">
        <f t="shared" si="0"/>
        <v>0.8893363524459371</v>
      </c>
      <c r="G11" s="308">
        <f>'[4]2011_ktgv_részletező_tábla'!BB63</f>
        <v>0</v>
      </c>
      <c r="H11" s="290">
        <f>modositott_ei!BC63</f>
        <v>0</v>
      </c>
      <c r="I11" s="290">
        <f>6m_teljesitesi_adatok!BC63</f>
        <v>0</v>
      </c>
      <c r="J11" s="294"/>
      <c r="K11" s="308">
        <f t="shared" si="1"/>
        <v>124773.25</v>
      </c>
      <c r="L11" s="290">
        <f t="shared" si="2"/>
        <v>131606</v>
      </c>
      <c r="M11" s="290">
        <f t="shared" si="3"/>
        <v>117042</v>
      </c>
      <c r="N11" s="294">
        <f t="shared" si="4"/>
        <v>0.8893363524459371</v>
      </c>
      <c r="O11" s="306">
        <f>'[4]2011_ktgv_részletező_tábla'!BD63</f>
        <v>0</v>
      </c>
      <c r="P11" s="290">
        <f>modositott_ei!BE63</f>
        <v>0</v>
      </c>
      <c r="Q11" s="290">
        <f>6m_teljesitesi_adatok!BE63</f>
        <v>0</v>
      </c>
      <c r="R11" s="289"/>
      <c r="S11" s="290">
        <f t="shared" si="5"/>
        <v>124773.25</v>
      </c>
      <c r="T11" s="290">
        <f t="shared" si="6"/>
        <v>131606</v>
      </c>
      <c r="U11" s="290">
        <f t="shared" si="7"/>
        <v>117042</v>
      </c>
      <c r="V11" s="294">
        <f t="shared" si="8"/>
        <v>0.8893363524459371</v>
      </c>
    </row>
    <row r="12" spans="1:22" s="7" customFormat="1" ht="12.75">
      <c r="A12" s="295"/>
      <c r="B12" s="303" t="s">
        <v>180</v>
      </c>
      <c r="C12" s="227">
        <f>'[4]2011_ktgv_részletező_tábla'!AW64</f>
        <v>7221</v>
      </c>
      <c r="D12" s="13">
        <f>modositott_ei!AX64</f>
        <v>9942</v>
      </c>
      <c r="E12" s="13">
        <f>6m_teljesitesi_adatok!AX64</f>
        <v>6352</v>
      </c>
      <c r="F12" s="294">
        <f t="shared" si="0"/>
        <v>0.6389056527861597</v>
      </c>
      <c r="G12" s="308">
        <f>'[4]2011_ktgv_részletező_tábla'!BB64</f>
        <v>0</v>
      </c>
      <c r="H12" s="290">
        <f>modositott_ei!BC64</f>
        <v>0</v>
      </c>
      <c r="I12" s="290">
        <f>6m_teljesitesi_adatok!BC64</f>
        <v>0</v>
      </c>
      <c r="J12" s="294"/>
      <c r="K12" s="308">
        <f t="shared" si="1"/>
        <v>7221</v>
      </c>
      <c r="L12" s="290">
        <f t="shared" si="2"/>
        <v>9942</v>
      </c>
      <c r="M12" s="290">
        <f t="shared" si="3"/>
        <v>6352</v>
      </c>
      <c r="N12" s="294">
        <f t="shared" si="4"/>
        <v>0.6389056527861597</v>
      </c>
      <c r="O12" s="306">
        <f>'[4]2011_ktgv_részletező_tábla'!BD64</f>
        <v>0</v>
      </c>
      <c r="P12" s="290">
        <f>modositott_ei!BE64</f>
        <v>0</v>
      </c>
      <c r="Q12" s="290">
        <f>6m_teljesitesi_adatok!BE64</f>
        <v>0</v>
      </c>
      <c r="R12" s="289"/>
      <c r="S12" s="290">
        <f t="shared" si="5"/>
        <v>7221</v>
      </c>
      <c r="T12" s="290">
        <f t="shared" si="6"/>
        <v>9942</v>
      </c>
      <c r="U12" s="290">
        <f t="shared" si="7"/>
        <v>6352</v>
      </c>
      <c r="V12" s="294">
        <f t="shared" si="8"/>
        <v>0.6389056527861597</v>
      </c>
    </row>
    <row r="13" spans="1:22" s="7" customFormat="1" ht="12.75">
      <c r="A13" s="295"/>
      <c r="B13" s="303" t="s">
        <v>181</v>
      </c>
      <c r="C13" s="227">
        <f>'[4]2011_ktgv_részletező_tábla'!AW65</f>
        <v>5160.542431356101</v>
      </c>
      <c r="D13" s="13">
        <f>modositott_ei!AX65</f>
        <v>5161</v>
      </c>
      <c r="E13" s="13">
        <f>6m_teljesitesi_adatok!AX65</f>
        <v>319</v>
      </c>
      <c r="F13" s="294">
        <f t="shared" si="0"/>
        <v>0.06180972679713234</v>
      </c>
      <c r="G13" s="308">
        <f>'[4]2011_ktgv_részletező_tábla'!BB65</f>
        <v>0</v>
      </c>
      <c r="H13" s="290">
        <f>modositott_ei!BC65</f>
        <v>0</v>
      </c>
      <c r="I13" s="290">
        <f>6m_teljesitesi_adatok!BC65</f>
        <v>0</v>
      </c>
      <c r="J13" s="294"/>
      <c r="K13" s="308">
        <f t="shared" si="1"/>
        <v>5160.542431356101</v>
      </c>
      <c r="L13" s="290">
        <f t="shared" si="2"/>
        <v>5161</v>
      </c>
      <c r="M13" s="290">
        <f t="shared" si="3"/>
        <v>319</v>
      </c>
      <c r="N13" s="294">
        <f t="shared" si="4"/>
        <v>0.06180972679713234</v>
      </c>
      <c r="O13" s="306">
        <f>'[4]2011_ktgv_részletező_tábla'!BD65</f>
        <v>0</v>
      </c>
      <c r="P13" s="290">
        <f>modositott_ei!BE65</f>
        <v>0</v>
      </c>
      <c r="Q13" s="290">
        <f>6m_teljesitesi_adatok!BE65</f>
        <v>0</v>
      </c>
      <c r="R13" s="289"/>
      <c r="S13" s="290">
        <f t="shared" si="5"/>
        <v>5160.542431356101</v>
      </c>
      <c r="T13" s="290">
        <f t="shared" si="6"/>
        <v>5161</v>
      </c>
      <c r="U13" s="290">
        <f t="shared" si="7"/>
        <v>319</v>
      </c>
      <c r="V13" s="294">
        <f t="shared" si="8"/>
        <v>0.06180972679713234</v>
      </c>
    </row>
    <row r="14" spans="1:22" s="7" customFormat="1" ht="12" customHeight="1">
      <c r="A14" s="292">
        <v>3</v>
      </c>
      <c r="B14" s="207" t="s">
        <v>197</v>
      </c>
      <c r="C14" s="229">
        <f>'[4]2011_ktgv_részletező_tábla'!AW66</f>
        <v>22789.77549</v>
      </c>
      <c r="D14" s="92">
        <f>modositott_ei!AX66</f>
        <v>19394</v>
      </c>
      <c r="E14" s="92">
        <f>6m_teljesitesi_adatok!AX66</f>
        <v>0</v>
      </c>
      <c r="F14" s="240">
        <f t="shared" si="0"/>
        <v>0</v>
      </c>
      <c r="G14" s="229">
        <f>'[4]2011_ktgv_részletező_tábla'!BB66</f>
        <v>0</v>
      </c>
      <c r="H14" s="92">
        <f>modositott_ei!BC66</f>
        <v>0</v>
      </c>
      <c r="I14" s="92">
        <f>6m_teljesitesi_adatok!BC66</f>
        <v>0</v>
      </c>
      <c r="J14" s="240"/>
      <c r="K14" s="229">
        <f t="shared" si="1"/>
        <v>22789.77549</v>
      </c>
      <c r="L14" s="92">
        <f t="shared" si="2"/>
        <v>19394</v>
      </c>
      <c r="M14" s="92">
        <f t="shared" si="3"/>
        <v>0</v>
      </c>
      <c r="N14" s="240">
        <f t="shared" si="4"/>
        <v>0</v>
      </c>
      <c r="O14" s="220">
        <f>'[4]2011_ktgv_részletező_tábla'!BD66</f>
        <v>0</v>
      </c>
      <c r="P14" s="92">
        <f>modositott_ei!BE66</f>
        <v>0</v>
      </c>
      <c r="Q14" s="92">
        <f>6m_teljesitesi_adatok!BE66</f>
        <v>0</v>
      </c>
      <c r="R14" s="188"/>
      <c r="S14" s="92">
        <f t="shared" si="5"/>
        <v>22789.77549</v>
      </c>
      <c r="T14" s="92">
        <f t="shared" si="6"/>
        <v>19394</v>
      </c>
      <c r="U14" s="92">
        <f t="shared" si="7"/>
        <v>0</v>
      </c>
      <c r="V14" s="240">
        <f t="shared" si="8"/>
        <v>0</v>
      </c>
    </row>
    <row r="15" spans="1:22" s="7" customFormat="1" ht="12.75">
      <c r="A15" s="293"/>
      <c r="B15" s="303" t="s">
        <v>183</v>
      </c>
      <c r="C15" s="227">
        <f>'[4]2011_ktgv_részletező_tábla'!AW67</f>
        <v>8789.77549</v>
      </c>
      <c r="D15" s="13">
        <f>modositott_ei!AX67</f>
        <v>5394</v>
      </c>
      <c r="E15" s="13">
        <f>6m_teljesitesi_adatok!AX67</f>
        <v>0</v>
      </c>
      <c r="F15" s="294">
        <f t="shared" si="0"/>
        <v>0</v>
      </c>
      <c r="G15" s="308">
        <f>'[4]2011_ktgv_részletező_tábla'!BB67</f>
        <v>0</v>
      </c>
      <c r="H15" s="290">
        <f>modositott_ei!BC67</f>
        <v>0</v>
      </c>
      <c r="I15" s="290">
        <f>6m_teljesitesi_adatok!BC67</f>
        <v>0</v>
      </c>
      <c r="J15" s="294"/>
      <c r="K15" s="308">
        <f t="shared" si="1"/>
        <v>8789.77549</v>
      </c>
      <c r="L15" s="290">
        <f t="shared" si="2"/>
        <v>5394</v>
      </c>
      <c r="M15" s="290">
        <f t="shared" si="3"/>
        <v>0</v>
      </c>
      <c r="N15" s="294">
        <f t="shared" si="4"/>
        <v>0</v>
      </c>
      <c r="O15" s="306">
        <f>'[4]2011_ktgv_részletező_tábla'!BD67</f>
        <v>0</v>
      </c>
      <c r="P15" s="290">
        <f>modositott_ei!BE67</f>
        <v>0</v>
      </c>
      <c r="Q15" s="290">
        <f>6m_teljesitesi_adatok!BE67</f>
        <v>0</v>
      </c>
      <c r="R15" s="289"/>
      <c r="S15" s="290">
        <f t="shared" si="5"/>
        <v>8789.77549</v>
      </c>
      <c r="T15" s="290">
        <f t="shared" si="6"/>
        <v>5394</v>
      </c>
      <c r="U15" s="290">
        <f t="shared" si="7"/>
        <v>0</v>
      </c>
      <c r="V15" s="294">
        <f t="shared" si="8"/>
        <v>0</v>
      </c>
    </row>
    <row r="16" spans="1:22" s="7" customFormat="1" ht="12.75">
      <c r="A16" s="295"/>
      <c r="B16" s="303" t="s">
        <v>184</v>
      </c>
      <c r="C16" s="227">
        <f>'[4]2011_ktgv_részletező_tábla'!AW68</f>
        <v>14000</v>
      </c>
      <c r="D16" s="13">
        <f>modositott_ei!AX68</f>
        <v>14000</v>
      </c>
      <c r="E16" s="13">
        <f>6m_teljesitesi_adatok!AX68</f>
        <v>0</v>
      </c>
      <c r="F16" s="294">
        <f t="shared" si="0"/>
        <v>0</v>
      </c>
      <c r="G16" s="308">
        <f>'[4]2011_ktgv_részletező_tábla'!BB68</f>
        <v>0</v>
      </c>
      <c r="H16" s="290">
        <f>modositott_ei!BC68</f>
        <v>0</v>
      </c>
      <c r="I16" s="290">
        <f>6m_teljesitesi_adatok!BC68</f>
        <v>0</v>
      </c>
      <c r="J16" s="294"/>
      <c r="K16" s="308">
        <f t="shared" si="1"/>
        <v>14000</v>
      </c>
      <c r="L16" s="290">
        <f t="shared" si="2"/>
        <v>14000</v>
      </c>
      <c r="M16" s="290">
        <f t="shared" si="3"/>
        <v>0</v>
      </c>
      <c r="N16" s="294">
        <f t="shared" si="4"/>
        <v>0</v>
      </c>
      <c r="O16" s="306">
        <f>'[4]2011_ktgv_részletező_tábla'!BD68</f>
        <v>0</v>
      </c>
      <c r="P16" s="290">
        <f>modositott_ei!BE68</f>
        <v>0</v>
      </c>
      <c r="Q16" s="290">
        <f>6m_teljesitesi_adatok!BE68</f>
        <v>0</v>
      </c>
      <c r="R16" s="289"/>
      <c r="S16" s="290">
        <f t="shared" si="5"/>
        <v>14000</v>
      </c>
      <c r="T16" s="290">
        <f t="shared" si="6"/>
        <v>14000</v>
      </c>
      <c r="U16" s="290">
        <f t="shared" si="7"/>
        <v>0</v>
      </c>
      <c r="V16" s="294">
        <f t="shared" si="8"/>
        <v>0</v>
      </c>
    </row>
    <row r="17" spans="1:22" s="5" customFormat="1" ht="13.5" thickBot="1">
      <c r="A17" s="298"/>
      <c r="B17" s="259" t="s">
        <v>0</v>
      </c>
      <c r="C17" s="307">
        <f>'[4]2011_ktgv_részletező_tábla'!AW69</f>
        <v>375676.06173851306</v>
      </c>
      <c r="D17" s="299">
        <f>modositott_ei!AX69</f>
        <v>416882</v>
      </c>
      <c r="E17" s="299">
        <f>6m_teljesitesi_adatok!AX69</f>
        <v>250896</v>
      </c>
      <c r="F17" s="301">
        <f t="shared" si="0"/>
        <v>0.6018393694138869</v>
      </c>
      <c r="G17" s="230">
        <f>G3+G10+G14</f>
        <v>54200.488738</v>
      </c>
      <c r="H17" s="231">
        <f>H3+H10+H14</f>
        <v>54362</v>
      </c>
      <c r="I17" s="231">
        <f>I3+I10+I14</f>
        <v>24780</v>
      </c>
      <c r="J17" s="301">
        <f>J3+J10+J14</f>
        <v>0.45583311872263715</v>
      </c>
      <c r="K17" s="230">
        <f t="shared" si="1"/>
        <v>429876.55047651305</v>
      </c>
      <c r="L17" s="231">
        <f t="shared" si="2"/>
        <v>471244</v>
      </c>
      <c r="M17" s="231">
        <f t="shared" si="3"/>
        <v>275676</v>
      </c>
      <c r="N17" s="301">
        <f t="shared" si="4"/>
        <v>0.5849963076452963</v>
      </c>
      <c r="O17" s="231">
        <f>'[4]2011_ktgv_részletező_tábla'!BD69</f>
        <v>299</v>
      </c>
      <c r="P17" s="231">
        <f>modositott_ei!BE69</f>
        <v>299</v>
      </c>
      <c r="Q17" s="231">
        <f>6m_teljesitesi_adatok!BE69</f>
        <v>113</v>
      </c>
      <c r="R17" s="300">
        <f>Q17/P17</f>
        <v>0.3779264214046823</v>
      </c>
      <c r="S17" s="231">
        <f t="shared" si="5"/>
        <v>430175.55047651305</v>
      </c>
      <c r="T17" s="231">
        <f t="shared" si="6"/>
        <v>471543</v>
      </c>
      <c r="U17" s="231">
        <f t="shared" si="7"/>
        <v>275789</v>
      </c>
      <c r="V17" s="301">
        <f t="shared" si="8"/>
        <v>0.5848650070089048</v>
      </c>
    </row>
    <row r="19" spans="1:22" s="7" customFormat="1" ht="32.25" customHeight="1">
      <c r="A19" s="32"/>
      <c r="B19" s="3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s="5" customFormat="1" ht="27" customHeight="1" thickBot="1">
      <c r="A20" s="46"/>
      <c r="B20" s="47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</row>
    <row r="21" spans="1:22" s="12" customFormat="1" ht="30" customHeight="1">
      <c r="A21" s="54"/>
      <c r="B21" s="325" t="s">
        <v>144</v>
      </c>
      <c r="C21" s="323">
        <f>'[4]2011_ktgv_részletező_tábla'!AW85</f>
        <v>8935.067</v>
      </c>
      <c r="D21" s="272">
        <f>modositott_ei!AX85</f>
        <v>8935</v>
      </c>
      <c r="E21" s="272">
        <f>6m_teljesitesi_adatok!AX85</f>
        <v>4101</v>
      </c>
      <c r="F21" s="312">
        <f>E21/D21</f>
        <v>0.45898153329602687</v>
      </c>
      <c r="G21" s="318"/>
      <c r="H21" s="272">
        <f aca="true" t="shared" si="9" ref="H21:R21">SUM(H22:H24)</f>
        <v>0</v>
      </c>
      <c r="I21" s="272">
        <f t="shared" si="9"/>
        <v>0</v>
      </c>
      <c r="J21" s="273">
        <f t="shared" si="9"/>
        <v>0</v>
      </c>
      <c r="K21" s="316">
        <f aca="true" t="shared" si="10" ref="K21:M24">G21+C21</f>
        <v>8935.067</v>
      </c>
      <c r="L21" s="263">
        <f t="shared" si="10"/>
        <v>8935</v>
      </c>
      <c r="M21" s="263">
        <f t="shared" si="10"/>
        <v>4101</v>
      </c>
      <c r="N21" s="312">
        <f>M21/L21</f>
        <v>0.45898153329602687</v>
      </c>
      <c r="O21" s="318">
        <f t="shared" si="9"/>
        <v>0</v>
      </c>
      <c r="P21" s="272">
        <f t="shared" si="9"/>
        <v>0</v>
      </c>
      <c r="Q21" s="272">
        <f t="shared" si="9"/>
        <v>0</v>
      </c>
      <c r="R21" s="273">
        <f t="shared" si="9"/>
        <v>0</v>
      </c>
      <c r="S21" s="316">
        <f aca="true" t="shared" si="11" ref="S21:U24">K21+O21</f>
        <v>8935.067</v>
      </c>
      <c r="T21" s="263">
        <f t="shared" si="11"/>
        <v>8935</v>
      </c>
      <c r="U21" s="263">
        <f t="shared" si="11"/>
        <v>4101</v>
      </c>
      <c r="V21" s="264">
        <f>U21/T21</f>
        <v>0.45898153329602687</v>
      </c>
    </row>
    <row r="22" spans="1:22" s="12" customFormat="1" ht="12.75" customHeight="1">
      <c r="A22" s="54"/>
      <c r="B22" s="326" t="s">
        <v>196</v>
      </c>
      <c r="C22" s="219">
        <f>'[4]2011_ktgv_részletező_tábla'!AW86</f>
        <v>0</v>
      </c>
      <c r="D22" s="13">
        <f>modositott_ei!AX86</f>
        <v>0</v>
      </c>
      <c r="E22" s="13">
        <f>6m_teljesitesi_adatok!AX86</f>
        <v>0</v>
      </c>
      <c r="F22" s="313"/>
      <c r="G22" s="227"/>
      <c r="H22" s="13"/>
      <c r="I22" s="13"/>
      <c r="J22" s="228"/>
      <c r="K22" s="306">
        <f t="shared" si="10"/>
        <v>0</v>
      </c>
      <c r="L22" s="290">
        <f t="shared" si="10"/>
        <v>0</v>
      </c>
      <c r="M22" s="290">
        <f t="shared" si="10"/>
        <v>0</v>
      </c>
      <c r="N22" s="313"/>
      <c r="O22" s="227"/>
      <c r="P22" s="13"/>
      <c r="Q22" s="13"/>
      <c r="R22" s="228"/>
      <c r="S22" s="306">
        <f t="shared" si="11"/>
        <v>0</v>
      </c>
      <c r="T22" s="290">
        <f t="shared" si="11"/>
        <v>0</v>
      </c>
      <c r="U22" s="290">
        <f t="shared" si="11"/>
        <v>0</v>
      </c>
      <c r="V22" s="294"/>
    </row>
    <row r="23" spans="2:22" s="10" customFormat="1" ht="11.25" customHeight="1">
      <c r="B23" s="327" t="s">
        <v>1</v>
      </c>
      <c r="C23" s="219">
        <f>'[4]2011_ktgv_részletező_tábla'!AW87</f>
        <v>8935.067</v>
      </c>
      <c r="D23" s="13">
        <f>modositott_ei!AX87</f>
        <v>8935</v>
      </c>
      <c r="E23" s="13">
        <f>6m_teljesitesi_adatok!AX87</f>
        <v>4101</v>
      </c>
      <c r="F23" s="313">
        <f>E23/D23</f>
        <v>0.45898153329602687</v>
      </c>
      <c r="G23" s="227"/>
      <c r="H23" s="13"/>
      <c r="I23" s="13"/>
      <c r="J23" s="228"/>
      <c r="K23" s="306">
        <f t="shared" si="10"/>
        <v>8935.067</v>
      </c>
      <c r="L23" s="290">
        <f t="shared" si="10"/>
        <v>8935</v>
      </c>
      <c r="M23" s="290">
        <f t="shared" si="10"/>
        <v>4101</v>
      </c>
      <c r="N23" s="313">
        <f>M23/L23</f>
        <v>0.45898153329602687</v>
      </c>
      <c r="O23" s="227"/>
      <c r="P23" s="13"/>
      <c r="Q23" s="13"/>
      <c r="R23" s="228"/>
      <c r="S23" s="306">
        <f t="shared" si="11"/>
        <v>8935.067</v>
      </c>
      <c r="T23" s="290">
        <f t="shared" si="11"/>
        <v>8935</v>
      </c>
      <c r="U23" s="290">
        <f t="shared" si="11"/>
        <v>4101</v>
      </c>
      <c r="V23" s="294">
        <f>U23/T23</f>
        <v>0.45898153329602687</v>
      </c>
    </row>
    <row r="24" spans="2:22" s="10" customFormat="1" ht="11.25" customHeight="1" thickBot="1">
      <c r="B24" s="328" t="s">
        <v>87</v>
      </c>
      <c r="C24" s="324">
        <f>'[4]2011_ktgv_részletező_tábla'!AW88</f>
        <v>0</v>
      </c>
      <c r="D24" s="269">
        <f>modositott_ei!AX88</f>
        <v>0</v>
      </c>
      <c r="E24" s="269">
        <f>6m_teljesitesi_adatok!AX88</f>
        <v>0</v>
      </c>
      <c r="F24" s="314"/>
      <c r="G24" s="319"/>
      <c r="H24" s="269"/>
      <c r="I24" s="269"/>
      <c r="J24" s="270"/>
      <c r="K24" s="317">
        <f t="shared" si="10"/>
        <v>0</v>
      </c>
      <c r="L24" s="310">
        <f t="shared" si="10"/>
        <v>0</v>
      </c>
      <c r="M24" s="310">
        <f t="shared" si="10"/>
        <v>0</v>
      </c>
      <c r="N24" s="314"/>
      <c r="O24" s="319"/>
      <c r="P24" s="269"/>
      <c r="Q24" s="269"/>
      <c r="R24" s="270"/>
      <c r="S24" s="317">
        <f t="shared" si="11"/>
        <v>0</v>
      </c>
      <c r="T24" s="310">
        <f t="shared" si="11"/>
        <v>0</v>
      </c>
      <c r="U24" s="310">
        <f t="shared" si="11"/>
        <v>0</v>
      </c>
      <c r="V24" s="311"/>
    </row>
    <row r="25" spans="1:22" s="5" customFormat="1" ht="37.5" customHeight="1" thickBot="1">
      <c r="A25" s="47"/>
      <c r="B25" s="329" t="s">
        <v>88</v>
      </c>
      <c r="C25" s="309">
        <f>C21+C17</f>
        <v>384611.12873851304</v>
      </c>
      <c r="D25" s="309">
        <f>D21+D17</f>
        <v>425817</v>
      </c>
      <c r="E25" s="309">
        <f>E21+E17</f>
        <v>254997</v>
      </c>
      <c r="F25" s="315">
        <f>E25/D25</f>
        <v>0.5988417559655909</v>
      </c>
      <c r="G25" s="320">
        <f aca="true" t="shared" si="12" ref="G25:U25">G21+G17</f>
        <v>54200.488738</v>
      </c>
      <c r="H25" s="321">
        <f t="shared" si="12"/>
        <v>54362</v>
      </c>
      <c r="I25" s="321">
        <f t="shared" si="12"/>
        <v>24780</v>
      </c>
      <c r="J25" s="322">
        <f t="shared" si="12"/>
        <v>0.45583311872263715</v>
      </c>
      <c r="K25" s="309">
        <f t="shared" si="12"/>
        <v>438811.617476513</v>
      </c>
      <c r="L25" s="309">
        <f t="shared" si="12"/>
        <v>480179</v>
      </c>
      <c r="M25" s="309">
        <f t="shared" si="12"/>
        <v>279777</v>
      </c>
      <c r="N25" s="315">
        <f t="shared" si="12"/>
        <v>1.0439778409413232</v>
      </c>
      <c r="O25" s="320">
        <f t="shared" si="12"/>
        <v>299</v>
      </c>
      <c r="P25" s="321">
        <f t="shared" si="12"/>
        <v>299</v>
      </c>
      <c r="Q25" s="321">
        <f t="shared" si="12"/>
        <v>113</v>
      </c>
      <c r="R25" s="315">
        <f t="shared" si="12"/>
        <v>0.3779264214046823</v>
      </c>
      <c r="S25" s="309">
        <f t="shared" si="12"/>
        <v>439110.617476513</v>
      </c>
      <c r="T25" s="309">
        <f t="shared" si="12"/>
        <v>480478</v>
      </c>
      <c r="U25" s="309">
        <f t="shared" si="12"/>
        <v>279890</v>
      </c>
      <c r="V25" s="315">
        <f>U25/T25</f>
        <v>0.5825240697805102</v>
      </c>
    </row>
  </sheetData>
  <sheetProtection selectLockedCells="1"/>
  <mergeCells count="1">
    <mergeCell ref="A1:V1"/>
  </mergeCells>
  <printOptions horizontalCentered="1" verticalCentered="1"/>
  <pageMargins left="0.3937007874015748" right="0.3937007874015748" top="0.5118110236220472" bottom="0.15748031496062992" header="0.5118110236220472" footer="0.15748031496062992"/>
  <pageSetup horizontalDpi="600" verticalDpi="600" orientation="landscape" paperSize="8" scale="65" r:id="rId2"/>
  <headerFooter alignWithMargins="0">
    <oddHeader>&amp;R2. sz. melléklet
</oddHeader>
    <oddFooter>&amp;C&amp;P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G62"/>
  <sheetViews>
    <sheetView view="pageBreakPreview" zoomScale="60" zoomScalePageLayoutView="0" workbookViewId="0" topLeftCell="A1">
      <selection activeCell="L62" sqref="L62"/>
    </sheetView>
  </sheetViews>
  <sheetFormatPr defaultColWidth="9.140625" defaultRowHeight="15"/>
  <cols>
    <col min="1" max="1" width="11.421875" style="331" customWidth="1"/>
    <col min="2" max="2" width="13.28125" style="331" customWidth="1"/>
    <col min="3" max="3" width="63.7109375" style="330" customWidth="1"/>
    <col min="4" max="4" width="14.7109375" style="330" customWidth="1"/>
    <col min="5" max="5" width="13.140625" style="330" customWidth="1"/>
    <col min="6" max="6" width="15.00390625" style="331" customWidth="1"/>
    <col min="7" max="7" width="15.140625" style="331" customWidth="1"/>
  </cols>
  <sheetData>
    <row r="1" spans="1:7" s="332" customFormat="1" ht="42.75">
      <c r="A1" s="407" t="s">
        <v>257</v>
      </c>
      <c r="B1" s="408" t="s">
        <v>258</v>
      </c>
      <c r="C1" s="408" t="s">
        <v>59</v>
      </c>
      <c r="D1" s="408" t="s">
        <v>259</v>
      </c>
      <c r="E1" s="408" t="s">
        <v>260</v>
      </c>
      <c r="F1" s="408" t="s">
        <v>261</v>
      </c>
      <c r="G1" s="408" t="s">
        <v>262</v>
      </c>
    </row>
    <row r="2" spans="1:7" s="332" customFormat="1" ht="27.75" customHeight="1">
      <c r="A2" s="565" t="s">
        <v>263</v>
      </c>
      <c r="B2" s="566"/>
      <c r="C2" s="566"/>
      <c r="D2" s="566"/>
      <c r="E2" s="566"/>
      <c r="F2" s="566"/>
      <c r="G2" s="566"/>
    </row>
    <row r="3" spans="1:7" s="332" customFormat="1" ht="15">
      <c r="A3" s="409">
        <v>201</v>
      </c>
      <c r="B3" s="410">
        <v>841126</v>
      </c>
      <c r="C3" s="411" t="s">
        <v>264</v>
      </c>
      <c r="D3" s="412">
        <v>500</v>
      </c>
      <c r="E3" s="412">
        <v>500</v>
      </c>
      <c r="F3" s="413">
        <v>0</v>
      </c>
      <c r="G3" s="414">
        <f aca="true" t="shared" si="0" ref="G3:G12">F3/E3</f>
        <v>0</v>
      </c>
    </row>
    <row r="4" spans="1:7" s="332" customFormat="1" ht="15">
      <c r="A4" s="409">
        <v>202</v>
      </c>
      <c r="B4" s="410">
        <v>841126</v>
      </c>
      <c r="C4" s="411" t="s">
        <v>265</v>
      </c>
      <c r="D4" s="412">
        <v>400</v>
      </c>
      <c r="E4" s="412">
        <v>400</v>
      </c>
      <c r="F4" s="413">
        <v>0</v>
      </c>
      <c r="G4" s="414">
        <f t="shared" si="0"/>
        <v>0</v>
      </c>
    </row>
    <row r="5" spans="1:7" s="332" customFormat="1" ht="15">
      <c r="A5" s="409">
        <v>203</v>
      </c>
      <c r="B5" s="410">
        <v>841126</v>
      </c>
      <c r="C5" s="411" t="s">
        <v>266</v>
      </c>
      <c r="D5" s="412">
        <v>1000</v>
      </c>
      <c r="E5" s="412">
        <v>1000</v>
      </c>
      <c r="F5" s="413"/>
      <c r="G5" s="414">
        <f t="shared" si="0"/>
        <v>0</v>
      </c>
    </row>
    <row r="6" spans="1:7" s="332" customFormat="1" ht="15">
      <c r="A6" s="409">
        <v>204</v>
      </c>
      <c r="B6" s="410">
        <v>841126</v>
      </c>
      <c r="C6" s="411" t="s">
        <v>267</v>
      </c>
      <c r="D6" s="412">
        <v>1000</v>
      </c>
      <c r="E6" s="412">
        <v>1000</v>
      </c>
      <c r="F6" s="413"/>
      <c r="G6" s="414">
        <f t="shared" si="0"/>
        <v>0</v>
      </c>
    </row>
    <row r="7" spans="1:7" s="332" customFormat="1" ht="15">
      <c r="A7" s="409">
        <v>205</v>
      </c>
      <c r="B7" s="410">
        <v>841126</v>
      </c>
      <c r="C7" s="411" t="s">
        <v>268</v>
      </c>
      <c r="D7" s="412">
        <v>1167</v>
      </c>
      <c r="E7" s="412">
        <v>3888</v>
      </c>
      <c r="F7" s="413">
        <v>3888</v>
      </c>
      <c r="G7" s="414">
        <f t="shared" si="0"/>
        <v>1</v>
      </c>
    </row>
    <row r="8" spans="1:7" s="332" customFormat="1" ht="15">
      <c r="A8" s="409">
        <v>206</v>
      </c>
      <c r="B8" s="410">
        <v>841126</v>
      </c>
      <c r="C8" s="411" t="s">
        <v>269</v>
      </c>
      <c r="D8" s="412">
        <v>90</v>
      </c>
      <c r="E8" s="412">
        <v>90</v>
      </c>
      <c r="F8" s="413"/>
      <c r="G8" s="414">
        <f t="shared" si="0"/>
        <v>0</v>
      </c>
    </row>
    <row r="9" spans="1:7" s="332" customFormat="1" ht="15">
      <c r="A9" s="409">
        <v>207</v>
      </c>
      <c r="B9" s="410">
        <v>960302</v>
      </c>
      <c r="C9" s="411" t="s">
        <v>270</v>
      </c>
      <c r="D9" s="412">
        <v>200</v>
      </c>
      <c r="E9" s="412">
        <v>200</v>
      </c>
      <c r="F9" s="413"/>
      <c r="G9" s="414">
        <f t="shared" si="0"/>
        <v>0</v>
      </c>
    </row>
    <row r="10" spans="1:7" s="332" customFormat="1" ht="15">
      <c r="A10" s="409">
        <v>209</v>
      </c>
      <c r="B10" s="410">
        <v>960302</v>
      </c>
      <c r="C10" s="411" t="s">
        <v>271</v>
      </c>
      <c r="D10" s="412">
        <v>400</v>
      </c>
      <c r="E10" s="412">
        <v>400</v>
      </c>
      <c r="F10" s="413">
        <v>0</v>
      </c>
      <c r="G10" s="414">
        <f t="shared" si="0"/>
        <v>0</v>
      </c>
    </row>
    <row r="11" spans="1:7" s="332" customFormat="1" ht="15">
      <c r="A11" s="409">
        <v>208</v>
      </c>
      <c r="B11" s="410">
        <v>841403</v>
      </c>
      <c r="C11" s="411" t="s">
        <v>272</v>
      </c>
      <c r="D11" s="412">
        <v>2464</v>
      </c>
      <c r="E11" s="412">
        <v>2464</v>
      </c>
      <c r="F11" s="413">
        <v>2464</v>
      </c>
      <c r="G11" s="414">
        <f t="shared" si="0"/>
        <v>1</v>
      </c>
    </row>
    <row r="12" spans="1:7" s="332" customFormat="1" ht="15">
      <c r="A12" s="419" t="s">
        <v>273</v>
      </c>
      <c r="B12" s="420"/>
      <c r="C12" s="421" t="s">
        <v>274</v>
      </c>
      <c r="D12" s="422">
        <f>SUM(D3:D11)</f>
        <v>7221</v>
      </c>
      <c r="E12" s="422">
        <f>SUM(E3:E11)</f>
        <v>9942</v>
      </c>
      <c r="F12" s="422">
        <f>SUM(F3:F11)</f>
        <v>6352</v>
      </c>
      <c r="G12" s="423">
        <f t="shared" si="0"/>
        <v>0.6389056527861597</v>
      </c>
    </row>
    <row r="13" spans="1:7" s="332" customFormat="1" ht="15">
      <c r="A13" s="419" t="s">
        <v>275</v>
      </c>
      <c r="B13" s="420"/>
      <c r="C13" s="421" t="s">
        <v>276</v>
      </c>
      <c r="D13" s="421"/>
      <c r="E13" s="421"/>
      <c r="F13" s="422"/>
      <c r="G13" s="422"/>
    </row>
    <row r="14" spans="1:7" s="332" customFormat="1" ht="15">
      <c r="A14" s="424" t="s">
        <v>277</v>
      </c>
      <c r="B14" s="425"/>
      <c r="C14" s="426" t="s">
        <v>278</v>
      </c>
      <c r="D14" s="427">
        <f>D12+D13</f>
        <v>7221</v>
      </c>
      <c r="E14" s="427">
        <f>E12+E13</f>
        <v>9942</v>
      </c>
      <c r="F14" s="427">
        <f>F12+F13</f>
        <v>6352</v>
      </c>
      <c r="G14" s="428">
        <f>G12+G13</f>
        <v>0.6389056527861597</v>
      </c>
    </row>
    <row r="15" spans="1:7" s="332" customFormat="1" ht="26.25" customHeight="1">
      <c r="A15" s="565" t="s">
        <v>279</v>
      </c>
      <c r="B15" s="566"/>
      <c r="C15" s="566"/>
      <c r="D15" s="566"/>
      <c r="E15" s="566"/>
      <c r="F15" s="566"/>
      <c r="G15" s="566"/>
    </row>
    <row r="16" spans="1:7" s="332" customFormat="1" ht="15">
      <c r="A16" s="409">
        <v>300</v>
      </c>
      <c r="B16" s="410">
        <v>910502</v>
      </c>
      <c r="C16" s="411" t="s">
        <v>280</v>
      </c>
      <c r="D16" s="412">
        <v>100</v>
      </c>
      <c r="E16" s="412">
        <v>100</v>
      </c>
      <c r="F16" s="413">
        <v>101</v>
      </c>
      <c r="G16" s="414">
        <f aca="true" t="shared" si="1" ref="G16:G26">F16/E16</f>
        <v>1.01</v>
      </c>
    </row>
    <row r="17" spans="1:7" s="332" customFormat="1" ht="15">
      <c r="A17" s="409">
        <v>301</v>
      </c>
      <c r="B17" s="410">
        <v>421100</v>
      </c>
      <c r="C17" s="411" t="s">
        <v>281</v>
      </c>
      <c r="D17" s="412">
        <v>2000</v>
      </c>
      <c r="E17" s="412">
        <v>2000</v>
      </c>
      <c r="F17" s="413"/>
      <c r="G17" s="414">
        <f t="shared" si="1"/>
        <v>0</v>
      </c>
    </row>
    <row r="18" spans="1:7" s="332" customFormat="1" ht="15">
      <c r="A18" s="409">
        <v>302</v>
      </c>
      <c r="B18" s="410">
        <v>421100</v>
      </c>
      <c r="C18" s="411" t="s">
        <v>282</v>
      </c>
      <c r="D18" s="412">
        <v>450</v>
      </c>
      <c r="E18" s="412">
        <v>450</v>
      </c>
      <c r="F18" s="413"/>
      <c r="G18" s="414">
        <f t="shared" si="1"/>
        <v>0</v>
      </c>
    </row>
    <row r="19" spans="1:7" s="332" customFormat="1" ht="15">
      <c r="A19" s="409">
        <v>303</v>
      </c>
      <c r="B19" s="410">
        <v>841402</v>
      </c>
      <c r="C19" s="411" t="s">
        <v>283</v>
      </c>
      <c r="D19" s="412">
        <v>900</v>
      </c>
      <c r="E19" s="412">
        <v>900</v>
      </c>
      <c r="F19" s="413"/>
      <c r="G19" s="414">
        <f t="shared" si="1"/>
        <v>0</v>
      </c>
    </row>
    <row r="20" spans="1:7" s="332" customFormat="1" ht="15">
      <c r="A20" s="409">
        <v>304</v>
      </c>
      <c r="B20" s="410">
        <v>841126</v>
      </c>
      <c r="C20" s="411" t="s">
        <v>284</v>
      </c>
      <c r="D20" s="412">
        <v>2688</v>
      </c>
      <c r="E20" s="412">
        <v>3488</v>
      </c>
      <c r="F20" s="413">
        <v>3487</v>
      </c>
      <c r="G20" s="414">
        <f t="shared" si="1"/>
        <v>0.9997133027522935</v>
      </c>
    </row>
    <row r="21" spans="1:7" s="332" customFormat="1" ht="15">
      <c r="A21" s="409">
        <v>402</v>
      </c>
      <c r="B21" s="410">
        <v>841126</v>
      </c>
      <c r="C21" s="411" t="s">
        <v>285</v>
      </c>
      <c r="D21" s="412">
        <v>2175</v>
      </c>
      <c r="E21" s="412">
        <v>2175</v>
      </c>
      <c r="F21" s="413"/>
      <c r="G21" s="414">
        <f t="shared" si="1"/>
        <v>0</v>
      </c>
    </row>
    <row r="22" spans="1:7" s="332" customFormat="1" ht="15">
      <c r="A22" s="409">
        <v>403</v>
      </c>
      <c r="B22" s="410">
        <v>841126</v>
      </c>
      <c r="C22" s="411" t="s">
        <v>286</v>
      </c>
      <c r="D22" s="412">
        <v>1200</v>
      </c>
      <c r="E22" s="412">
        <v>1200</v>
      </c>
      <c r="F22" s="413"/>
      <c r="G22" s="414">
        <f t="shared" si="1"/>
        <v>0</v>
      </c>
    </row>
    <row r="23" spans="1:7" s="332" customFormat="1" ht="15">
      <c r="A23" s="409">
        <v>404</v>
      </c>
      <c r="B23" s="410">
        <v>841126</v>
      </c>
      <c r="C23" s="411" t="s">
        <v>287</v>
      </c>
      <c r="D23" s="412">
        <v>5625</v>
      </c>
      <c r="E23" s="412">
        <v>5625</v>
      </c>
      <c r="F23" s="413">
        <v>200</v>
      </c>
      <c r="G23" s="414">
        <f t="shared" si="1"/>
        <v>0.035555555555555556</v>
      </c>
    </row>
    <row r="24" spans="1:7" s="332" customFormat="1" ht="15">
      <c r="A24" s="409">
        <v>405</v>
      </c>
      <c r="B24" s="410">
        <v>841403</v>
      </c>
      <c r="C24" s="411" t="s">
        <v>288</v>
      </c>
      <c r="D24" s="412">
        <v>500</v>
      </c>
      <c r="E24" s="412">
        <v>500</v>
      </c>
      <c r="F24" s="413"/>
      <c r="G24" s="414">
        <f t="shared" si="1"/>
        <v>0</v>
      </c>
    </row>
    <row r="25" spans="1:7" s="332" customFormat="1" ht="15">
      <c r="A25" s="409">
        <v>408</v>
      </c>
      <c r="B25" s="410">
        <v>841126</v>
      </c>
      <c r="C25" s="411" t="s">
        <v>289</v>
      </c>
      <c r="D25" s="412">
        <v>1703</v>
      </c>
      <c r="E25" s="412">
        <v>1703</v>
      </c>
      <c r="F25" s="413"/>
      <c r="G25" s="414">
        <f t="shared" si="1"/>
        <v>0</v>
      </c>
    </row>
    <row r="26" spans="1:7" s="332" customFormat="1" ht="15">
      <c r="A26" s="409">
        <v>409</v>
      </c>
      <c r="B26" s="410">
        <v>841126</v>
      </c>
      <c r="C26" s="411" t="s">
        <v>290</v>
      </c>
      <c r="D26" s="412"/>
      <c r="E26" s="412">
        <v>1004</v>
      </c>
      <c r="F26" s="413">
        <v>1004</v>
      </c>
      <c r="G26" s="414">
        <f t="shared" si="1"/>
        <v>1</v>
      </c>
    </row>
    <row r="27" spans="1:7" s="332" customFormat="1" ht="15">
      <c r="A27" s="409">
        <v>410</v>
      </c>
      <c r="B27" s="410">
        <v>841403</v>
      </c>
      <c r="C27" s="411" t="s">
        <v>291</v>
      </c>
      <c r="D27" s="412"/>
      <c r="E27" s="412"/>
      <c r="F27" s="413">
        <v>177</v>
      </c>
      <c r="G27" s="414"/>
    </row>
    <row r="28" spans="1:7" s="332" customFormat="1" ht="15">
      <c r="A28" s="409">
        <v>501</v>
      </c>
      <c r="B28" s="410">
        <v>841126</v>
      </c>
      <c r="C28" s="411" t="s">
        <v>292</v>
      </c>
      <c r="D28" s="412">
        <v>105927</v>
      </c>
      <c r="E28" s="412">
        <v>110328</v>
      </c>
      <c r="F28" s="413">
        <v>110398</v>
      </c>
      <c r="G28" s="414">
        <f>F28/E28</f>
        <v>1.0006344717569429</v>
      </c>
    </row>
    <row r="29" spans="1:7" s="332" customFormat="1" ht="15">
      <c r="A29" s="409">
        <v>502</v>
      </c>
      <c r="B29" s="410">
        <v>562917</v>
      </c>
      <c r="C29" s="411" t="s">
        <v>293</v>
      </c>
      <c r="D29" s="412">
        <v>500</v>
      </c>
      <c r="E29" s="412">
        <v>0</v>
      </c>
      <c r="F29" s="413"/>
      <c r="G29" s="414"/>
    </row>
    <row r="30" spans="1:7" s="332" customFormat="1" ht="15">
      <c r="A30" s="409">
        <v>505</v>
      </c>
      <c r="B30" s="410">
        <v>841126</v>
      </c>
      <c r="C30" s="411" t="s">
        <v>294</v>
      </c>
      <c r="D30" s="412"/>
      <c r="E30" s="412">
        <v>928</v>
      </c>
      <c r="F30" s="413">
        <v>578</v>
      </c>
      <c r="G30" s="414">
        <f>F30/E30</f>
        <v>0.6228448275862069</v>
      </c>
    </row>
    <row r="31" spans="1:7" s="332" customFormat="1" ht="15">
      <c r="A31" s="409">
        <v>503</v>
      </c>
      <c r="B31" s="410">
        <v>841126</v>
      </c>
      <c r="C31" s="411" t="s">
        <v>295</v>
      </c>
      <c r="D31" s="412"/>
      <c r="E31" s="412"/>
      <c r="F31" s="413">
        <v>96</v>
      </c>
      <c r="G31" s="414"/>
    </row>
    <row r="32" spans="1:7" s="332" customFormat="1" ht="15">
      <c r="A32" s="409">
        <v>504</v>
      </c>
      <c r="B32" s="410">
        <v>841126</v>
      </c>
      <c r="C32" s="411" t="s">
        <v>296</v>
      </c>
      <c r="D32" s="412"/>
      <c r="E32" s="412"/>
      <c r="F32" s="413">
        <v>95</v>
      </c>
      <c r="G32" s="414"/>
    </row>
    <row r="33" spans="1:7" s="332" customFormat="1" ht="15">
      <c r="A33" s="409">
        <v>806</v>
      </c>
      <c r="B33" s="410">
        <v>841126</v>
      </c>
      <c r="C33" s="411" t="s">
        <v>297</v>
      </c>
      <c r="D33" s="412">
        <v>1005</v>
      </c>
      <c r="E33" s="412">
        <v>1005</v>
      </c>
      <c r="F33" s="413">
        <v>706</v>
      </c>
      <c r="G33" s="414">
        <f>F33/E33</f>
        <v>0.7024875621890547</v>
      </c>
    </row>
    <row r="34" spans="1:7" s="332" customFormat="1" ht="15">
      <c r="A34" s="409">
        <v>807</v>
      </c>
      <c r="B34" s="410">
        <v>562917</v>
      </c>
      <c r="C34" s="411" t="s">
        <v>298</v>
      </c>
      <c r="D34" s="412"/>
      <c r="E34" s="412">
        <v>200</v>
      </c>
      <c r="F34" s="413">
        <v>200</v>
      </c>
      <c r="G34" s="414">
        <f>F34/E34</f>
        <v>1</v>
      </c>
    </row>
    <row r="35" spans="1:7" s="332" customFormat="1" ht="15">
      <c r="A35" s="419" t="s">
        <v>299</v>
      </c>
      <c r="B35" s="420"/>
      <c r="C35" s="421" t="s">
        <v>300</v>
      </c>
      <c r="D35" s="422">
        <f>SUM(D16:D34)</f>
        <v>124773</v>
      </c>
      <c r="E35" s="422">
        <f>SUM(E16:E34)</f>
        <v>131606</v>
      </c>
      <c r="F35" s="422">
        <f>SUM(F16:F34)</f>
        <v>117042</v>
      </c>
      <c r="G35" s="423">
        <f>F35/E35</f>
        <v>0.8893363524459371</v>
      </c>
    </row>
    <row r="36" spans="1:7" s="332" customFormat="1" ht="15">
      <c r="A36" s="419" t="s">
        <v>301</v>
      </c>
      <c r="B36" s="420"/>
      <c r="C36" s="421" t="s">
        <v>276</v>
      </c>
      <c r="D36" s="421"/>
      <c r="E36" s="421"/>
      <c r="F36" s="422"/>
      <c r="G36" s="422"/>
    </row>
    <row r="37" spans="1:7" s="332" customFormat="1" ht="15.75">
      <c r="A37" s="429" t="s">
        <v>302</v>
      </c>
      <c r="B37" s="430"/>
      <c r="C37" s="431" t="s">
        <v>303</v>
      </c>
      <c r="D37" s="432">
        <f>D35+D36</f>
        <v>124773</v>
      </c>
      <c r="E37" s="432">
        <f>E35+E36</f>
        <v>131606</v>
      </c>
      <c r="F37" s="432">
        <f>F35+F36</f>
        <v>117042</v>
      </c>
      <c r="G37" s="433">
        <f>F37/E37</f>
        <v>0.8893363524459371</v>
      </c>
    </row>
    <row r="38" spans="1:7" s="332" customFormat="1" ht="30" customHeight="1">
      <c r="A38" s="567" t="s">
        <v>192</v>
      </c>
      <c r="B38" s="568"/>
      <c r="C38" s="568"/>
      <c r="D38" s="568"/>
      <c r="E38" s="568"/>
      <c r="F38" s="568"/>
      <c r="G38" s="568"/>
    </row>
    <row r="39" spans="1:7" s="332" customFormat="1" ht="15">
      <c r="A39" s="409">
        <v>382214</v>
      </c>
      <c r="B39" s="410">
        <v>841126</v>
      </c>
      <c r="C39" s="411" t="s">
        <v>304</v>
      </c>
      <c r="D39" s="412">
        <v>652</v>
      </c>
      <c r="E39" s="412">
        <v>652</v>
      </c>
      <c r="F39" s="413">
        <v>319</v>
      </c>
      <c r="G39" s="414">
        <f>F39/E39</f>
        <v>0.4892638036809816</v>
      </c>
    </row>
    <row r="40" spans="1:7" s="332" customFormat="1" ht="15">
      <c r="A40" s="409">
        <v>382216</v>
      </c>
      <c r="B40" s="410">
        <v>890506</v>
      </c>
      <c r="C40" s="415" t="s">
        <v>305</v>
      </c>
      <c r="D40" s="415">
        <v>4509</v>
      </c>
      <c r="E40" s="415">
        <v>4509</v>
      </c>
      <c r="F40" s="413">
        <v>0</v>
      </c>
      <c r="G40" s="414">
        <f>F40/E40</f>
        <v>0</v>
      </c>
    </row>
    <row r="41" spans="1:7" s="332" customFormat="1" ht="31.5">
      <c r="A41" s="434" t="s">
        <v>306</v>
      </c>
      <c r="B41" s="435"/>
      <c r="C41" s="431" t="s">
        <v>307</v>
      </c>
      <c r="D41" s="436">
        <f>SUM(D38:D40)</f>
        <v>5161</v>
      </c>
      <c r="E41" s="436">
        <f>SUM(E38:E40)</f>
        <v>5161</v>
      </c>
      <c r="F41" s="436">
        <f>SUM(F38:F40)</f>
        <v>319</v>
      </c>
      <c r="G41" s="433">
        <f>F41/E41</f>
        <v>0.06180972679713234</v>
      </c>
    </row>
    <row r="42" spans="1:7" s="332" customFormat="1" ht="27.75" customHeight="1">
      <c r="A42" s="567" t="s">
        <v>308</v>
      </c>
      <c r="B42" s="568"/>
      <c r="C42" s="568"/>
      <c r="D42" s="568"/>
      <c r="E42" s="568"/>
      <c r="F42" s="568"/>
      <c r="G42" s="568"/>
    </row>
    <row r="43" spans="1:7" s="332" customFormat="1" ht="15">
      <c r="A43" s="409">
        <v>45142</v>
      </c>
      <c r="B43" s="410">
        <v>841906</v>
      </c>
      <c r="C43" s="415" t="s">
        <v>309</v>
      </c>
      <c r="D43" s="415">
        <v>260</v>
      </c>
      <c r="E43" s="415">
        <v>260</v>
      </c>
      <c r="F43" s="413">
        <v>127</v>
      </c>
      <c r="G43" s="414">
        <f>F43/E43</f>
        <v>0.48846153846153845</v>
      </c>
    </row>
    <row r="44" spans="1:7" s="332" customFormat="1" ht="15">
      <c r="A44" s="409">
        <v>45142</v>
      </c>
      <c r="B44" s="410">
        <v>841906</v>
      </c>
      <c r="C44" s="415" t="s">
        <v>310</v>
      </c>
      <c r="D44" s="415">
        <v>6494</v>
      </c>
      <c r="E44" s="415">
        <v>6494</v>
      </c>
      <c r="F44" s="413">
        <v>3247</v>
      </c>
      <c r="G44" s="414">
        <f>F44/E44</f>
        <v>0.5</v>
      </c>
    </row>
    <row r="45" spans="1:7" s="332" customFormat="1" ht="30">
      <c r="A45" s="409">
        <v>45142</v>
      </c>
      <c r="B45" s="410">
        <v>841906</v>
      </c>
      <c r="C45" s="415" t="s">
        <v>311</v>
      </c>
      <c r="D45" s="415">
        <v>2181</v>
      </c>
      <c r="E45" s="415">
        <v>2181</v>
      </c>
      <c r="F45" s="413">
        <v>727</v>
      </c>
      <c r="G45" s="414">
        <f>F45/E45</f>
        <v>0.3333333333333333</v>
      </c>
    </row>
    <row r="46" spans="1:7" s="332" customFormat="1" ht="30">
      <c r="A46" s="409">
        <v>45142</v>
      </c>
      <c r="B46" s="410">
        <v>841906</v>
      </c>
      <c r="C46" s="415" t="s">
        <v>312</v>
      </c>
      <c r="D46" s="415"/>
      <c r="E46" s="415"/>
      <c r="F46" s="413"/>
      <c r="G46" s="414"/>
    </row>
    <row r="47" spans="1:7" s="332" customFormat="1" ht="15.75">
      <c r="A47" s="429" t="s">
        <v>313</v>
      </c>
      <c r="B47" s="430"/>
      <c r="C47" s="431" t="s">
        <v>314</v>
      </c>
      <c r="D47" s="436">
        <f>SUM(D43:D46)</f>
        <v>8935</v>
      </c>
      <c r="E47" s="436">
        <f>SUM(E43:E46)</f>
        <v>8935</v>
      </c>
      <c r="F47" s="436">
        <f>SUM(F43:F46)</f>
        <v>4101</v>
      </c>
      <c r="G47" s="433">
        <f>F47/E47</f>
        <v>0.45898153329602687</v>
      </c>
    </row>
    <row r="48" spans="1:7" s="332" customFormat="1" ht="32.25" customHeight="1">
      <c r="A48" s="567" t="s">
        <v>315</v>
      </c>
      <c r="B48" s="568"/>
      <c r="C48" s="568"/>
      <c r="D48" s="568"/>
      <c r="E48" s="568"/>
      <c r="F48" s="568"/>
      <c r="G48" s="568"/>
    </row>
    <row r="49" spans="1:7" s="332" customFormat="1" ht="15.75">
      <c r="A49" s="429" t="s">
        <v>316</v>
      </c>
      <c r="B49" s="430"/>
      <c r="C49" s="431" t="s">
        <v>317</v>
      </c>
      <c r="D49" s="436">
        <f>D48</f>
        <v>0</v>
      </c>
      <c r="E49" s="436">
        <f>E48</f>
        <v>0</v>
      </c>
      <c r="F49" s="436">
        <f>F48</f>
        <v>0</v>
      </c>
      <c r="G49" s="436">
        <f>G48</f>
        <v>0</v>
      </c>
    </row>
    <row r="50" spans="1:7" s="332" customFormat="1" ht="27.75" customHeight="1">
      <c r="A50" s="567" t="s">
        <v>318</v>
      </c>
      <c r="B50" s="568"/>
      <c r="C50" s="568"/>
      <c r="D50" s="568"/>
      <c r="E50" s="568"/>
      <c r="F50" s="568"/>
      <c r="G50" s="568"/>
    </row>
    <row r="51" spans="1:7" s="332" customFormat="1" ht="15">
      <c r="A51" s="416"/>
      <c r="B51" s="411"/>
      <c r="C51" s="411" t="s">
        <v>384</v>
      </c>
      <c r="D51" s="412">
        <v>14000</v>
      </c>
      <c r="E51" s="412">
        <v>14000</v>
      </c>
      <c r="F51" s="413"/>
      <c r="G51" s="413"/>
    </row>
    <row r="52" spans="1:7" s="332" customFormat="1" ht="15">
      <c r="A52" s="440" t="s">
        <v>319</v>
      </c>
      <c r="B52" s="441"/>
      <c r="C52" s="421" t="s">
        <v>320</v>
      </c>
      <c r="D52" s="422">
        <f>SUM(D51:D51)</f>
        <v>14000</v>
      </c>
      <c r="E52" s="422">
        <f>SUM(E51:E51)</f>
        <v>14000</v>
      </c>
      <c r="F52" s="422">
        <f>SUM(F51:F51)</f>
        <v>0</v>
      </c>
      <c r="G52" s="422">
        <f>SUM(G51:G51)</f>
        <v>0</v>
      </c>
    </row>
    <row r="53" spans="1:7" s="332" customFormat="1" ht="15">
      <c r="A53" s="440" t="s">
        <v>321</v>
      </c>
      <c r="B53" s="441"/>
      <c r="C53" s="421" t="s">
        <v>322</v>
      </c>
      <c r="D53" s="421"/>
      <c r="E53" s="421"/>
      <c r="F53" s="422"/>
      <c r="G53" s="422"/>
    </row>
    <row r="54" spans="1:7" s="332" customFormat="1" ht="31.5">
      <c r="A54" s="429" t="s">
        <v>323</v>
      </c>
      <c r="B54" s="430"/>
      <c r="C54" s="431" t="s">
        <v>324</v>
      </c>
      <c r="D54" s="437">
        <f>D52+D53</f>
        <v>14000</v>
      </c>
      <c r="E54" s="437">
        <f>E52+E53</f>
        <v>14000</v>
      </c>
      <c r="F54" s="437">
        <f>F52+F53</f>
        <v>0</v>
      </c>
      <c r="G54" s="433">
        <f aca="true" t="shared" si="2" ref="G54:G59">F54/E54</f>
        <v>0</v>
      </c>
    </row>
    <row r="55" spans="1:7" s="332" customFormat="1" ht="28.5" customHeight="1">
      <c r="A55" s="569" t="s">
        <v>383</v>
      </c>
      <c r="B55" s="570"/>
      <c r="C55" s="571"/>
      <c r="D55" s="438">
        <f>D14+D37+D41+D47+D49+D54</f>
        <v>160090</v>
      </c>
      <c r="E55" s="438">
        <f>E14+E37+E41+E47+E49+E54</f>
        <v>169644</v>
      </c>
      <c r="F55" s="438">
        <f>F14+F37+F41+F47+F49+F54</f>
        <v>127814</v>
      </c>
      <c r="G55" s="439">
        <f t="shared" si="2"/>
        <v>0.7534248190327981</v>
      </c>
    </row>
    <row r="56" spans="1:7" s="332" customFormat="1" ht="33.75" customHeight="1">
      <c r="A56" s="563" t="s">
        <v>376</v>
      </c>
      <c r="B56" s="564"/>
      <c r="C56" s="564"/>
      <c r="D56" s="417">
        <v>1000</v>
      </c>
      <c r="E56" s="417">
        <v>1000</v>
      </c>
      <c r="F56" s="413"/>
      <c r="G56" s="414">
        <f t="shared" si="2"/>
        <v>0</v>
      </c>
    </row>
    <row r="57" spans="1:7" s="332" customFormat="1" ht="15">
      <c r="A57" s="563" t="s">
        <v>377</v>
      </c>
      <c r="B57" s="564"/>
      <c r="C57" s="564"/>
      <c r="D57" s="417">
        <v>172</v>
      </c>
      <c r="E57" s="417">
        <v>172</v>
      </c>
      <c r="F57" s="413">
        <v>87</v>
      </c>
      <c r="G57" s="414">
        <f t="shared" si="2"/>
        <v>0.5058139534883721</v>
      </c>
    </row>
    <row r="58" spans="1:7" s="332" customFormat="1" ht="15">
      <c r="A58" s="563" t="s">
        <v>378</v>
      </c>
      <c r="B58" s="564"/>
      <c r="C58" s="564"/>
      <c r="D58" s="417">
        <v>5004</v>
      </c>
      <c r="E58" s="417">
        <v>5004</v>
      </c>
      <c r="F58" s="413">
        <v>2600</v>
      </c>
      <c r="G58" s="414">
        <f t="shared" si="2"/>
        <v>0.5195843325339728</v>
      </c>
    </row>
    <row r="59" spans="1:7" s="332" customFormat="1" ht="15">
      <c r="A59" s="563" t="s">
        <v>379</v>
      </c>
      <c r="B59" s="564"/>
      <c r="C59" s="564"/>
      <c r="D59" s="417">
        <v>1884</v>
      </c>
      <c r="E59" s="417">
        <v>1884</v>
      </c>
      <c r="F59" s="413">
        <v>493</v>
      </c>
      <c r="G59" s="414">
        <f t="shared" si="2"/>
        <v>0.2616772823779193</v>
      </c>
    </row>
    <row r="60" spans="1:7" s="332" customFormat="1" ht="15">
      <c r="A60" s="563" t="s">
        <v>380</v>
      </c>
      <c r="B60" s="564"/>
      <c r="C60" s="564"/>
      <c r="D60" s="417"/>
      <c r="E60" s="417"/>
      <c r="F60" s="413"/>
      <c r="G60" s="414"/>
    </row>
    <row r="61" spans="1:7" s="332" customFormat="1" ht="15">
      <c r="A61" s="575" t="s">
        <v>381</v>
      </c>
      <c r="B61" s="576"/>
      <c r="C61" s="577"/>
      <c r="D61" s="418"/>
      <c r="E61" s="417">
        <v>27504</v>
      </c>
      <c r="F61" s="413">
        <v>25969</v>
      </c>
      <c r="G61" s="414">
        <f>F61/E61</f>
        <v>0.9441899360093078</v>
      </c>
    </row>
    <row r="62" spans="1:7" s="332" customFormat="1" ht="24.75" customHeight="1">
      <c r="A62" s="572" t="s">
        <v>382</v>
      </c>
      <c r="B62" s="573"/>
      <c r="C62" s="574"/>
      <c r="D62" s="442">
        <f>SUM(D55:D61)</f>
        <v>168150</v>
      </c>
      <c r="E62" s="442">
        <f>SUM(E55:E61)</f>
        <v>205208</v>
      </c>
      <c r="F62" s="442">
        <f>SUM(F55:F61)</f>
        <v>156963</v>
      </c>
      <c r="G62" s="443">
        <f>F62/E62</f>
        <v>0.7648970800358661</v>
      </c>
    </row>
  </sheetData>
  <sheetProtection/>
  <mergeCells count="14">
    <mergeCell ref="A62:C62"/>
    <mergeCell ref="A57:C57"/>
    <mergeCell ref="A58:C58"/>
    <mergeCell ref="A59:C59"/>
    <mergeCell ref="A60:C60"/>
    <mergeCell ref="A61:C61"/>
    <mergeCell ref="A56:C56"/>
    <mergeCell ref="A2:G2"/>
    <mergeCell ref="A15:G15"/>
    <mergeCell ref="A38:G38"/>
    <mergeCell ref="A42:G42"/>
    <mergeCell ref="A48:G48"/>
    <mergeCell ref="A50:G50"/>
    <mergeCell ref="A55:C55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  <headerFooter>
    <oddHeader>&amp;R3. sz. melléklet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IV184"/>
  <sheetViews>
    <sheetView showZeros="0" view="pageBreakPreview" zoomScaleSheetLayoutView="100" workbookViewId="0" topLeftCell="C31">
      <selection activeCell="N12" sqref="N12"/>
    </sheetView>
  </sheetViews>
  <sheetFormatPr defaultColWidth="9.140625" defaultRowHeight="15"/>
  <cols>
    <col min="1" max="1" width="10.00390625" style="333" customWidth="1"/>
    <col min="2" max="2" width="58.7109375" style="58" customWidth="1"/>
    <col min="3" max="3" width="11.421875" style="58" customWidth="1"/>
    <col min="4" max="4" width="11.7109375" style="58" customWidth="1"/>
    <col min="5" max="5" width="10.8515625" style="58" customWidth="1"/>
    <col min="6" max="6" width="11.28125" style="58" customWidth="1"/>
    <col min="7" max="7" width="0" style="59" hidden="1" customWidth="1"/>
    <col min="8" max="9" width="9.140625" style="2" customWidth="1"/>
    <col min="10" max="10" width="10.421875" style="2" customWidth="1"/>
    <col min="11" max="11" width="12.421875" style="2" customWidth="1"/>
    <col min="12" max="16384" width="9.140625" style="2" customWidth="1"/>
  </cols>
  <sheetData>
    <row r="1" spans="1:11" s="335" customFormat="1" ht="30.75" customHeight="1">
      <c r="A1" s="578" t="s">
        <v>345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</row>
    <row r="2" spans="1:256" s="336" customFormat="1" ht="12" customHeight="1">
      <c r="A2" s="334"/>
      <c r="B2" s="334"/>
      <c r="C2" s="334"/>
      <c r="D2" s="334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  <c r="BH2" s="579"/>
      <c r="BI2" s="579"/>
      <c r="BJ2" s="579"/>
      <c r="BK2" s="579"/>
      <c r="BL2" s="579"/>
      <c r="BM2" s="579"/>
      <c r="BN2" s="579"/>
      <c r="BO2" s="579"/>
      <c r="BP2" s="579"/>
      <c r="BQ2" s="579"/>
      <c r="BR2" s="579"/>
      <c r="BS2" s="579"/>
      <c r="BT2" s="579"/>
      <c r="BU2" s="579"/>
      <c r="BV2" s="579"/>
      <c r="BW2" s="579"/>
      <c r="BX2" s="579"/>
      <c r="BY2" s="579"/>
      <c r="BZ2" s="579"/>
      <c r="CA2" s="579"/>
      <c r="CB2" s="579"/>
      <c r="CC2" s="579"/>
      <c r="CD2" s="579"/>
      <c r="CE2" s="579"/>
      <c r="CF2" s="579"/>
      <c r="CG2" s="579"/>
      <c r="CH2" s="579"/>
      <c r="CI2" s="579"/>
      <c r="CJ2" s="579"/>
      <c r="CK2" s="579"/>
      <c r="CL2" s="579"/>
      <c r="CM2" s="579"/>
      <c r="CN2" s="579"/>
      <c r="CO2" s="579"/>
      <c r="CP2" s="579"/>
      <c r="CQ2" s="579"/>
      <c r="CR2" s="579"/>
      <c r="CS2" s="579"/>
      <c r="CT2" s="579"/>
      <c r="CU2" s="579"/>
      <c r="CV2" s="579"/>
      <c r="CW2" s="579"/>
      <c r="CX2" s="579"/>
      <c r="CY2" s="579"/>
      <c r="CZ2" s="579"/>
      <c r="DA2" s="579"/>
      <c r="DB2" s="579"/>
      <c r="DC2" s="579"/>
      <c r="DD2" s="579"/>
      <c r="DE2" s="579"/>
      <c r="DF2" s="579"/>
      <c r="DG2" s="579"/>
      <c r="DH2" s="579"/>
      <c r="DI2" s="579"/>
      <c r="DJ2" s="579"/>
      <c r="DK2" s="579"/>
      <c r="DL2" s="579"/>
      <c r="DM2" s="579"/>
      <c r="DN2" s="579"/>
      <c r="DO2" s="579"/>
      <c r="DP2" s="579"/>
      <c r="DQ2" s="579"/>
      <c r="DR2" s="579"/>
      <c r="DS2" s="579"/>
      <c r="DT2" s="579"/>
      <c r="DU2" s="579"/>
      <c r="DV2" s="579"/>
      <c r="DW2" s="579"/>
      <c r="DX2" s="579"/>
      <c r="DY2" s="579"/>
      <c r="DZ2" s="579"/>
      <c r="EA2" s="579"/>
      <c r="EB2" s="579"/>
      <c r="EC2" s="579"/>
      <c r="ED2" s="579"/>
      <c r="EE2" s="579"/>
      <c r="EF2" s="579"/>
      <c r="EG2" s="579"/>
      <c r="EH2" s="579"/>
      <c r="EI2" s="579"/>
      <c r="EJ2" s="579"/>
      <c r="EK2" s="579"/>
      <c r="EL2" s="579"/>
      <c r="EM2" s="579"/>
      <c r="EN2" s="579"/>
      <c r="EO2" s="579"/>
      <c r="EP2" s="579"/>
      <c r="EQ2" s="579"/>
      <c r="ER2" s="579"/>
      <c r="ES2" s="579"/>
      <c r="ET2" s="579"/>
      <c r="EU2" s="579"/>
      <c r="EV2" s="579"/>
      <c r="EW2" s="579"/>
      <c r="EX2" s="579"/>
      <c r="EY2" s="579"/>
      <c r="EZ2" s="579"/>
      <c r="FA2" s="579"/>
      <c r="FB2" s="579"/>
      <c r="FC2" s="579"/>
      <c r="FD2" s="579"/>
      <c r="FE2" s="579"/>
      <c r="FF2" s="579"/>
      <c r="FG2" s="579"/>
      <c r="FH2" s="579"/>
      <c r="FI2" s="579"/>
      <c r="FJ2" s="579"/>
      <c r="FK2" s="579"/>
      <c r="FL2" s="579"/>
      <c r="FM2" s="579"/>
      <c r="FN2" s="579"/>
      <c r="FO2" s="579"/>
      <c r="FP2" s="579"/>
      <c r="FQ2" s="579"/>
      <c r="FR2" s="579"/>
      <c r="FS2" s="579"/>
      <c r="FT2" s="579"/>
      <c r="FU2" s="579"/>
      <c r="FV2" s="579"/>
      <c r="FW2" s="579"/>
      <c r="FX2" s="579"/>
      <c r="FY2" s="579"/>
      <c r="FZ2" s="579"/>
      <c r="GA2" s="579"/>
      <c r="GB2" s="579"/>
      <c r="GC2" s="579"/>
      <c r="GD2" s="579"/>
      <c r="GE2" s="579"/>
      <c r="GF2" s="579"/>
      <c r="GG2" s="579"/>
      <c r="GH2" s="579"/>
      <c r="GI2" s="579"/>
      <c r="GJ2" s="579"/>
      <c r="GK2" s="579"/>
      <c r="GL2" s="579"/>
      <c r="GM2" s="579"/>
      <c r="GN2" s="579"/>
      <c r="GO2" s="579"/>
      <c r="GP2" s="579"/>
      <c r="GQ2" s="579"/>
      <c r="GR2" s="579"/>
      <c r="GS2" s="579"/>
      <c r="GT2" s="579"/>
      <c r="GU2" s="579"/>
      <c r="GV2" s="579"/>
      <c r="GW2" s="579"/>
      <c r="GX2" s="579"/>
      <c r="GY2" s="579"/>
      <c r="GZ2" s="579"/>
      <c r="HA2" s="579"/>
      <c r="HB2" s="579"/>
      <c r="HC2" s="579"/>
      <c r="HD2" s="579"/>
      <c r="HE2" s="579"/>
      <c r="HF2" s="579"/>
      <c r="HG2" s="579"/>
      <c r="HH2" s="579"/>
      <c r="HI2" s="579"/>
      <c r="HJ2" s="579"/>
      <c r="HK2" s="579"/>
      <c r="HL2" s="579"/>
      <c r="HM2" s="579"/>
      <c r="HN2" s="579"/>
      <c r="HO2" s="579"/>
      <c r="HP2" s="579"/>
      <c r="HQ2" s="579"/>
      <c r="HR2" s="579"/>
      <c r="HS2" s="579"/>
      <c r="HT2" s="579"/>
      <c r="HU2" s="579"/>
      <c r="HV2" s="579"/>
      <c r="HW2" s="579"/>
      <c r="HX2" s="579"/>
      <c r="HY2" s="579"/>
      <c r="HZ2" s="579"/>
      <c r="IA2" s="579"/>
      <c r="IB2" s="579"/>
      <c r="IC2" s="579"/>
      <c r="ID2" s="579"/>
      <c r="IE2" s="579"/>
      <c r="IF2" s="579"/>
      <c r="IG2" s="579"/>
      <c r="IH2" s="579"/>
      <c r="II2" s="579"/>
      <c r="IJ2" s="579"/>
      <c r="IK2" s="579"/>
      <c r="IL2" s="579"/>
      <c r="IM2" s="579"/>
      <c r="IN2" s="579"/>
      <c r="IO2" s="579"/>
      <c r="IP2" s="579"/>
      <c r="IQ2" s="579"/>
      <c r="IR2" s="579"/>
      <c r="IS2" s="579"/>
      <c r="IT2" s="579"/>
      <c r="IU2" s="579"/>
      <c r="IV2" s="579"/>
    </row>
    <row r="3" spans="1:256" s="336" customFormat="1" ht="84" customHeight="1" hidden="1">
      <c r="A3" s="334"/>
      <c r="B3" s="334"/>
      <c r="C3" s="334"/>
      <c r="D3" s="334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  <c r="AF3" s="579"/>
      <c r="AG3" s="579"/>
      <c r="AH3" s="579"/>
      <c r="AI3" s="579"/>
      <c r="AJ3" s="579"/>
      <c r="AK3" s="579"/>
      <c r="AL3" s="579"/>
      <c r="AM3" s="579"/>
      <c r="AN3" s="579"/>
      <c r="AO3" s="579"/>
      <c r="AP3" s="579"/>
      <c r="AQ3" s="579"/>
      <c r="AR3" s="579"/>
      <c r="AS3" s="579"/>
      <c r="AT3" s="579"/>
      <c r="AU3" s="579"/>
      <c r="AV3" s="579"/>
      <c r="AW3" s="579"/>
      <c r="AX3" s="579"/>
      <c r="AY3" s="579"/>
      <c r="AZ3" s="579"/>
      <c r="BA3" s="579"/>
      <c r="BB3" s="579"/>
      <c r="BC3" s="579"/>
      <c r="BD3" s="579"/>
      <c r="BE3" s="579"/>
      <c r="BF3" s="579"/>
      <c r="BG3" s="579"/>
      <c r="BH3" s="579"/>
      <c r="BI3" s="579"/>
      <c r="BJ3" s="579"/>
      <c r="BK3" s="579"/>
      <c r="BL3" s="579"/>
      <c r="BM3" s="579"/>
      <c r="BN3" s="579"/>
      <c r="BO3" s="579"/>
      <c r="BP3" s="579"/>
      <c r="BQ3" s="579"/>
      <c r="BR3" s="579"/>
      <c r="BS3" s="579"/>
      <c r="BT3" s="579"/>
      <c r="BU3" s="579"/>
      <c r="BV3" s="579"/>
      <c r="BW3" s="579"/>
      <c r="BX3" s="579"/>
      <c r="BY3" s="579"/>
      <c r="BZ3" s="579"/>
      <c r="CA3" s="579"/>
      <c r="CB3" s="579"/>
      <c r="CC3" s="579"/>
      <c r="CD3" s="579"/>
      <c r="CE3" s="579"/>
      <c r="CF3" s="579"/>
      <c r="CG3" s="579"/>
      <c r="CH3" s="579"/>
      <c r="CI3" s="579"/>
      <c r="CJ3" s="579"/>
      <c r="CK3" s="579"/>
      <c r="CL3" s="579"/>
      <c r="CM3" s="579"/>
      <c r="CN3" s="579"/>
      <c r="CO3" s="579"/>
      <c r="CP3" s="579"/>
      <c r="CQ3" s="579"/>
      <c r="CR3" s="579"/>
      <c r="CS3" s="579"/>
      <c r="CT3" s="579"/>
      <c r="CU3" s="579"/>
      <c r="CV3" s="579"/>
      <c r="CW3" s="579"/>
      <c r="CX3" s="579"/>
      <c r="CY3" s="579"/>
      <c r="CZ3" s="579"/>
      <c r="DA3" s="579"/>
      <c r="DB3" s="579"/>
      <c r="DC3" s="579"/>
      <c r="DD3" s="579"/>
      <c r="DE3" s="579"/>
      <c r="DF3" s="579"/>
      <c r="DG3" s="579"/>
      <c r="DH3" s="579"/>
      <c r="DI3" s="579"/>
      <c r="DJ3" s="579"/>
      <c r="DK3" s="579"/>
      <c r="DL3" s="579"/>
      <c r="DM3" s="579"/>
      <c r="DN3" s="579"/>
      <c r="DO3" s="579"/>
      <c r="DP3" s="579"/>
      <c r="DQ3" s="579"/>
      <c r="DR3" s="579"/>
      <c r="DS3" s="579"/>
      <c r="DT3" s="579"/>
      <c r="DU3" s="579"/>
      <c r="DV3" s="579"/>
      <c r="DW3" s="579"/>
      <c r="DX3" s="579"/>
      <c r="DY3" s="579"/>
      <c r="DZ3" s="579"/>
      <c r="EA3" s="579"/>
      <c r="EB3" s="579"/>
      <c r="EC3" s="579"/>
      <c r="ED3" s="579"/>
      <c r="EE3" s="579"/>
      <c r="EF3" s="579"/>
      <c r="EG3" s="579"/>
      <c r="EH3" s="579"/>
      <c r="EI3" s="579"/>
      <c r="EJ3" s="579"/>
      <c r="EK3" s="579"/>
      <c r="EL3" s="579"/>
      <c r="EM3" s="579"/>
      <c r="EN3" s="579"/>
      <c r="EO3" s="579"/>
      <c r="EP3" s="579"/>
      <c r="EQ3" s="579"/>
      <c r="ER3" s="579"/>
      <c r="ES3" s="579"/>
      <c r="ET3" s="579"/>
      <c r="EU3" s="579"/>
      <c r="EV3" s="579"/>
      <c r="EW3" s="579"/>
      <c r="EX3" s="579"/>
      <c r="EY3" s="579"/>
      <c r="EZ3" s="579"/>
      <c r="FA3" s="579"/>
      <c r="FB3" s="579"/>
      <c r="FC3" s="579"/>
      <c r="FD3" s="579"/>
      <c r="FE3" s="579"/>
      <c r="FF3" s="579"/>
      <c r="FG3" s="579"/>
      <c r="FH3" s="579"/>
      <c r="FI3" s="579"/>
      <c r="FJ3" s="579"/>
      <c r="FK3" s="579"/>
      <c r="FL3" s="579"/>
      <c r="FM3" s="579"/>
      <c r="FN3" s="579"/>
      <c r="FO3" s="579"/>
      <c r="FP3" s="579"/>
      <c r="FQ3" s="579"/>
      <c r="FR3" s="579"/>
      <c r="FS3" s="579"/>
      <c r="FT3" s="579"/>
      <c r="FU3" s="579"/>
      <c r="FV3" s="579"/>
      <c r="FW3" s="579"/>
      <c r="FX3" s="579"/>
      <c r="FY3" s="579"/>
      <c r="FZ3" s="579"/>
      <c r="GA3" s="579"/>
      <c r="GB3" s="579"/>
      <c r="GC3" s="579"/>
      <c r="GD3" s="579"/>
      <c r="GE3" s="579"/>
      <c r="GF3" s="579"/>
      <c r="GG3" s="579"/>
      <c r="GH3" s="579"/>
      <c r="GI3" s="579"/>
      <c r="GJ3" s="579"/>
      <c r="GK3" s="579"/>
      <c r="GL3" s="579"/>
      <c r="GM3" s="579"/>
      <c r="GN3" s="579"/>
      <c r="GO3" s="579"/>
      <c r="GP3" s="579"/>
      <c r="GQ3" s="579"/>
      <c r="GR3" s="579"/>
      <c r="GS3" s="579"/>
      <c r="GT3" s="579"/>
      <c r="GU3" s="579"/>
      <c r="GV3" s="579"/>
      <c r="GW3" s="579"/>
      <c r="GX3" s="579"/>
      <c r="GY3" s="579"/>
      <c r="GZ3" s="579"/>
      <c r="HA3" s="579"/>
      <c r="HB3" s="579"/>
      <c r="HC3" s="579"/>
      <c r="HD3" s="579"/>
      <c r="HE3" s="579"/>
      <c r="HF3" s="579"/>
      <c r="HG3" s="579"/>
      <c r="HH3" s="579"/>
      <c r="HI3" s="579"/>
      <c r="HJ3" s="579"/>
      <c r="HK3" s="579"/>
      <c r="HL3" s="579"/>
      <c r="HM3" s="579"/>
      <c r="HN3" s="579"/>
      <c r="HO3" s="579"/>
      <c r="HP3" s="579"/>
      <c r="HQ3" s="579"/>
      <c r="HR3" s="579"/>
      <c r="HS3" s="579"/>
      <c r="HT3" s="579"/>
      <c r="HU3" s="579"/>
      <c r="HV3" s="579"/>
      <c r="HW3" s="579"/>
      <c r="HX3" s="579"/>
      <c r="HY3" s="579"/>
      <c r="HZ3" s="579"/>
      <c r="IA3" s="579"/>
      <c r="IB3" s="579"/>
      <c r="IC3" s="579"/>
      <c r="ID3" s="579"/>
      <c r="IE3" s="579"/>
      <c r="IF3" s="579"/>
      <c r="IG3" s="579"/>
      <c r="IH3" s="579"/>
      <c r="II3" s="579"/>
      <c r="IJ3" s="579"/>
      <c r="IK3" s="579"/>
      <c r="IL3" s="579"/>
      <c r="IM3" s="579"/>
      <c r="IN3" s="579"/>
      <c r="IO3" s="579"/>
      <c r="IP3" s="579"/>
      <c r="IQ3" s="579"/>
      <c r="IR3" s="579"/>
      <c r="IS3" s="579"/>
      <c r="IT3" s="579"/>
      <c r="IU3" s="579"/>
      <c r="IV3" s="579"/>
    </row>
    <row r="4" spans="3:10" ht="84" customHeight="1" hidden="1">
      <c r="C4" s="356"/>
      <c r="D4" s="356"/>
      <c r="G4" s="58"/>
      <c r="J4" s="356" t="s">
        <v>325</v>
      </c>
    </row>
    <row r="5" spans="1:11" s="337" customFormat="1" ht="84" customHeight="1" hidden="1">
      <c r="A5" s="580" t="s">
        <v>326</v>
      </c>
      <c r="B5" s="581" t="s">
        <v>327</v>
      </c>
      <c r="C5" s="582" t="s">
        <v>328</v>
      </c>
      <c r="D5" s="582" t="s">
        <v>329</v>
      </c>
      <c r="E5" s="582" t="s">
        <v>330</v>
      </c>
      <c r="F5" s="583" t="s">
        <v>331</v>
      </c>
      <c r="G5" s="357"/>
      <c r="H5" s="582" t="s">
        <v>332</v>
      </c>
      <c r="I5" s="582" t="s">
        <v>333</v>
      </c>
      <c r="J5" s="582" t="s">
        <v>334</v>
      </c>
      <c r="K5" s="583" t="s">
        <v>335</v>
      </c>
    </row>
    <row r="6" spans="1:11" s="337" customFormat="1" ht="80.25" customHeight="1">
      <c r="A6" s="580"/>
      <c r="B6" s="581"/>
      <c r="C6" s="582"/>
      <c r="D6" s="582"/>
      <c r="E6" s="582"/>
      <c r="F6" s="583"/>
      <c r="G6" s="357"/>
      <c r="H6" s="582"/>
      <c r="I6" s="582"/>
      <c r="J6" s="582"/>
      <c r="K6" s="583"/>
    </row>
    <row r="7" spans="1:11" s="344" customFormat="1" ht="12.75">
      <c r="A7" s="338">
        <v>382101</v>
      </c>
      <c r="B7" s="339" t="s">
        <v>52</v>
      </c>
      <c r="C7" s="340">
        <v>6286</v>
      </c>
      <c r="D7" s="340">
        <v>6286</v>
      </c>
      <c r="E7" s="341">
        <v>5231</v>
      </c>
      <c r="F7" s="342">
        <f>E7/D7</f>
        <v>0.8321667196945594</v>
      </c>
      <c r="G7" s="341"/>
      <c r="H7" s="343">
        <v>6773</v>
      </c>
      <c r="I7" s="343">
        <v>6676</v>
      </c>
      <c r="J7" s="343">
        <v>5516</v>
      </c>
      <c r="K7" s="342">
        <f aca="true" t="shared" si="0" ref="K7:K52">J7/I7</f>
        <v>0.8262432594367884</v>
      </c>
    </row>
    <row r="8" spans="1:11" s="344" customFormat="1" ht="12.75">
      <c r="A8" s="338">
        <f>'[5]2010_2a_mell_eredetiei'!C3</f>
        <v>421100</v>
      </c>
      <c r="B8" s="339" t="str">
        <f>'[5]2010_2a_mell_eredetiei'!C4</f>
        <v>útépítés</v>
      </c>
      <c r="C8" s="340"/>
      <c r="D8" s="340"/>
      <c r="E8" s="341"/>
      <c r="F8" s="342"/>
      <c r="G8" s="341"/>
      <c r="H8" s="343">
        <v>2450</v>
      </c>
      <c r="I8" s="343">
        <v>2450</v>
      </c>
      <c r="J8" s="343"/>
      <c r="K8" s="342">
        <f t="shared" si="0"/>
        <v>0</v>
      </c>
    </row>
    <row r="9" spans="1:11" s="344" customFormat="1" ht="12.75">
      <c r="A9" s="338">
        <f>'[5]2010_2a_mell_eredetiei'!D3</f>
        <v>552110</v>
      </c>
      <c r="B9" s="339" t="str">
        <f>'[5]2010_2a_mell_eredetiei'!D4</f>
        <v>útfenntartás</v>
      </c>
      <c r="C9" s="343"/>
      <c r="D9" s="343"/>
      <c r="E9" s="341"/>
      <c r="F9" s="342"/>
      <c r="G9" s="341"/>
      <c r="H9" s="343">
        <v>600</v>
      </c>
      <c r="I9" s="343">
        <v>600</v>
      </c>
      <c r="J9" s="343">
        <v>441</v>
      </c>
      <c r="K9" s="342">
        <f t="shared" si="0"/>
        <v>0.735</v>
      </c>
    </row>
    <row r="10" spans="1:11" s="344" customFormat="1" ht="12.75">
      <c r="A10" s="338">
        <f>'[5]2010_2a_mell_eredetiei'!F3</f>
        <v>562917</v>
      </c>
      <c r="B10" s="339" t="str">
        <f>'[5]2010_2a_mell_eredetiei'!F4</f>
        <v>munkahelyi étkeztetés</v>
      </c>
      <c r="C10" s="343">
        <v>14207</v>
      </c>
      <c r="D10" s="343">
        <v>14207</v>
      </c>
      <c r="E10" s="345">
        <v>8980</v>
      </c>
      <c r="F10" s="342">
        <f>E10/D10</f>
        <v>0.6320827760962906</v>
      </c>
      <c r="G10" s="341"/>
      <c r="H10" s="343">
        <v>32931</v>
      </c>
      <c r="I10" s="343">
        <v>36082</v>
      </c>
      <c r="J10" s="343">
        <v>19669</v>
      </c>
      <c r="K10" s="342">
        <f t="shared" si="0"/>
        <v>0.5451194501413447</v>
      </c>
    </row>
    <row r="11" spans="1:11" s="344" customFormat="1" ht="12.75">
      <c r="A11" s="338">
        <v>581400</v>
      </c>
      <c r="B11" s="339" t="s">
        <v>341</v>
      </c>
      <c r="C11" s="343"/>
      <c r="D11" s="343"/>
      <c r="E11" s="345"/>
      <c r="F11" s="342"/>
      <c r="G11" s="341"/>
      <c r="H11" s="343"/>
      <c r="I11" s="343">
        <v>314</v>
      </c>
      <c r="J11" s="343">
        <v>33</v>
      </c>
      <c r="K11" s="342">
        <f>J11/I11</f>
        <v>0.10509554140127389</v>
      </c>
    </row>
    <row r="12" spans="1:11" s="344" customFormat="1" ht="12.75">
      <c r="A12" s="338">
        <f>'[5]2010_2a_mell_eredetiei'!G3</f>
        <v>682001</v>
      </c>
      <c r="B12" s="339" t="str">
        <f>'[5]2010_2a_mell_eredetiei'!G4</f>
        <v>lakóingatlan bérbeadása, üzemeltetése</v>
      </c>
      <c r="C12" s="343">
        <v>1464</v>
      </c>
      <c r="D12" s="343">
        <v>1464</v>
      </c>
      <c r="E12" s="345">
        <v>644</v>
      </c>
      <c r="F12" s="342">
        <f>E12/D12</f>
        <v>0.43989071038251365</v>
      </c>
      <c r="G12" s="341"/>
      <c r="H12" s="343">
        <v>464</v>
      </c>
      <c r="I12" s="343">
        <v>464</v>
      </c>
      <c r="J12" s="343">
        <v>47</v>
      </c>
      <c r="K12" s="342">
        <f t="shared" si="0"/>
        <v>0.10129310344827586</v>
      </c>
    </row>
    <row r="13" spans="1:11" s="344" customFormat="1" ht="12.75">
      <c r="A13" s="338">
        <f>'[5]2010_2a_mell_eredetiei'!H3</f>
        <v>682002</v>
      </c>
      <c r="B13" s="339" t="str">
        <f>'[5]2010_2a_mell_eredetiei'!H4</f>
        <v>Nem lakóingatlan bérbeadása, üzemeltetése</v>
      </c>
      <c r="C13" s="343">
        <v>2204</v>
      </c>
      <c r="D13" s="343">
        <v>2204</v>
      </c>
      <c r="E13" s="345">
        <v>1121</v>
      </c>
      <c r="F13" s="342">
        <f>E13/D13</f>
        <v>0.5086206896551724</v>
      </c>
      <c r="G13" s="341"/>
      <c r="H13" s="343">
        <v>240</v>
      </c>
      <c r="I13" s="343">
        <v>240</v>
      </c>
      <c r="J13" s="343">
        <v>134</v>
      </c>
      <c r="K13" s="342">
        <f t="shared" si="0"/>
        <v>0.5583333333333333</v>
      </c>
    </row>
    <row r="14" spans="1:11" s="344" customFormat="1" ht="12.75">
      <c r="A14" s="338">
        <f>'[5]2010_2a_mell_eredetiei'!I3</f>
        <v>750000</v>
      </c>
      <c r="B14" s="339" t="str">
        <f>'[5]2010_2a_mell_eredetiei'!I4</f>
        <v>Állat-egészségügyi ellátás</v>
      </c>
      <c r="C14" s="343"/>
      <c r="D14" s="343"/>
      <c r="E14" s="341"/>
      <c r="F14" s="342"/>
      <c r="G14" s="341"/>
      <c r="H14" s="343">
        <v>200</v>
      </c>
      <c r="I14" s="343">
        <v>200</v>
      </c>
      <c r="J14" s="343">
        <v>187</v>
      </c>
      <c r="K14" s="342">
        <f t="shared" si="0"/>
        <v>0.935</v>
      </c>
    </row>
    <row r="15" spans="1:11" s="344" customFormat="1" ht="12.75">
      <c r="A15" s="338">
        <f>'[5]2010_2a_mell_eredetiei'!J3</f>
        <v>841112</v>
      </c>
      <c r="B15" s="339" t="str">
        <f>'[5]2010_2a_mell_eredetiei'!J4</f>
        <v>önkormányzati jogalkotás</v>
      </c>
      <c r="C15" s="343">
        <v>308</v>
      </c>
      <c r="D15" s="343">
        <v>308</v>
      </c>
      <c r="E15" s="341">
        <v>107</v>
      </c>
      <c r="F15" s="342">
        <f>E15/D15</f>
        <v>0.3474025974025974</v>
      </c>
      <c r="G15" s="341"/>
      <c r="H15" s="343">
        <v>13336</v>
      </c>
      <c r="I15" s="343">
        <v>13936</v>
      </c>
      <c r="J15" s="343">
        <v>6672</v>
      </c>
      <c r="K15" s="342">
        <f t="shared" si="0"/>
        <v>0.47876004592422505</v>
      </c>
    </row>
    <row r="16" spans="1:11" s="344" customFormat="1" ht="12.75">
      <c r="A16" s="338">
        <f>'[5]2010_2a_mell_IIInevesei'!L3</f>
        <v>841116</v>
      </c>
      <c r="B16" s="339" t="str">
        <f>'[5]2010_2a_mell_IIInevesei'!L4</f>
        <v>országos települési kisebbségi önk  választás</v>
      </c>
      <c r="C16" s="343">
        <v>21</v>
      </c>
      <c r="D16" s="343">
        <v>21</v>
      </c>
      <c r="E16" s="345">
        <v>21</v>
      </c>
      <c r="F16" s="342">
        <f>E16/D16</f>
        <v>1</v>
      </c>
      <c r="G16" s="341"/>
      <c r="H16" s="343">
        <v>621</v>
      </c>
      <c r="I16" s="343">
        <v>21</v>
      </c>
      <c r="J16" s="343">
        <v>21</v>
      </c>
      <c r="K16" s="342">
        <f t="shared" si="0"/>
        <v>1</v>
      </c>
    </row>
    <row r="17" spans="1:11" s="344" customFormat="1" ht="12.75">
      <c r="A17" s="338">
        <f>'[5]2010_2a_mell_eredetiei'!K3</f>
        <v>841126</v>
      </c>
      <c r="B17" s="339" t="str">
        <f>'[5]2010_2a_mell_eredetiei'!K4</f>
        <v>önk. Igazgatási tevékenység</v>
      </c>
      <c r="C17" s="343">
        <v>47473</v>
      </c>
      <c r="D17" s="343">
        <v>73800</v>
      </c>
      <c r="E17" s="345">
        <v>50197</v>
      </c>
      <c r="F17" s="342">
        <f>E17/D17</f>
        <v>0.6801761517615176</v>
      </c>
      <c r="G17" s="341"/>
      <c r="H17" s="343">
        <v>213391</v>
      </c>
      <c r="I17" s="343">
        <v>249479</v>
      </c>
      <c r="J17" s="343">
        <v>180196</v>
      </c>
      <c r="K17" s="342">
        <f t="shared" si="0"/>
        <v>0.7222892507986645</v>
      </c>
    </row>
    <row r="18" spans="1:11" s="344" customFormat="1" ht="12.75">
      <c r="A18" s="338">
        <f>'[5]2010_2a_mell_eredetiei'!M3</f>
        <v>841133</v>
      </c>
      <c r="B18" s="339" t="str">
        <f>'[5]2010_2a_mell_eredetiei'!M4</f>
        <v>adóügyi igazgatás</v>
      </c>
      <c r="C18" s="343"/>
      <c r="D18" s="343"/>
      <c r="E18" s="341"/>
      <c r="F18" s="342"/>
      <c r="G18" s="341"/>
      <c r="H18" s="343">
        <v>5382</v>
      </c>
      <c r="I18" s="343">
        <v>6165</v>
      </c>
      <c r="J18" s="343">
        <v>1958</v>
      </c>
      <c r="K18" s="342">
        <f t="shared" si="0"/>
        <v>0.3175993511759935</v>
      </c>
    </row>
    <row r="19" spans="1:11" s="344" customFormat="1" ht="12.75">
      <c r="A19" s="338">
        <f>'[5]2010_2a_mell_eredetiei'!N3</f>
        <v>841191</v>
      </c>
      <c r="B19" s="339" t="str">
        <f>'[5]2010_2a_mell_eredetiei'!N4</f>
        <v>nemzeti ünnepek programjai</v>
      </c>
      <c r="C19" s="343"/>
      <c r="D19" s="343"/>
      <c r="E19" s="341"/>
      <c r="F19" s="342"/>
      <c r="G19" s="341"/>
      <c r="H19" s="343">
        <v>200</v>
      </c>
      <c r="I19" s="343">
        <v>200</v>
      </c>
      <c r="J19" s="343">
        <v>7</v>
      </c>
      <c r="K19" s="342">
        <f t="shared" si="0"/>
        <v>0.035</v>
      </c>
    </row>
    <row r="20" spans="1:11" s="344" customFormat="1" ht="12.75">
      <c r="A20" s="338">
        <f>'[5]2010_2a_mell_eredetiei'!P3</f>
        <v>841402</v>
      </c>
      <c r="B20" s="339" t="str">
        <f>'[5]2010_2a_mell_eredetiei'!P4</f>
        <v>közvilágítás</v>
      </c>
      <c r="C20" s="343"/>
      <c r="D20" s="343"/>
      <c r="E20" s="341"/>
      <c r="F20" s="342"/>
      <c r="G20" s="341"/>
      <c r="H20" s="343">
        <v>10760</v>
      </c>
      <c r="I20" s="343">
        <v>11600</v>
      </c>
      <c r="J20" s="343">
        <v>5262</v>
      </c>
      <c r="K20" s="342">
        <f t="shared" si="0"/>
        <v>0.45362068965517244</v>
      </c>
    </row>
    <row r="21" spans="1:11" s="344" customFormat="1" ht="12.75">
      <c r="A21" s="338">
        <f>'[5]2010_2a_mell_eredetiei'!Q3</f>
        <v>841403</v>
      </c>
      <c r="B21" s="339" t="str">
        <f>'[5]2010_2a_mell_eredetiei'!Q4</f>
        <v>község- gazdálkodás</v>
      </c>
      <c r="C21" s="343"/>
      <c r="D21" s="343"/>
      <c r="E21" s="341"/>
      <c r="F21" s="342"/>
      <c r="G21" s="341"/>
      <c r="H21" s="343">
        <v>5593</v>
      </c>
      <c r="I21" s="343">
        <v>7096</v>
      </c>
      <c r="J21" s="343">
        <v>4516</v>
      </c>
      <c r="K21" s="342">
        <f t="shared" si="0"/>
        <v>0.6364148816234498</v>
      </c>
    </row>
    <row r="22" spans="1:11" s="344" customFormat="1" ht="12.75">
      <c r="A22" s="346">
        <f>'[5]2010_2a_mell_eredetiei'!R3</f>
        <v>841901</v>
      </c>
      <c r="B22" s="339" t="str">
        <f>'[5]2010_2a_mell_eredetiei'!R4</f>
        <v>önkormányzatok elszámolásai</v>
      </c>
      <c r="C22" s="343">
        <v>216458</v>
      </c>
      <c r="D22" s="343">
        <v>220578</v>
      </c>
      <c r="E22" s="345">
        <v>126924</v>
      </c>
      <c r="F22" s="342">
        <f>E22/D22</f>
        <v>0.5754154992791666</v>
      </c>
      <c r="G22" s="341"/>
      <c r="H22" s="343"/>
      <c r="I22" s="343"/>
      <c r="J22" s="347"/>
      <c r="K22" s="342"/>
    </row>
    <row r="23" spans="1:11" s="344" customFormat="1" ht="12.75">
      <c r="A23" s="338">
        <f>'[5]2010_2a_mell_eredetiei'!S3</f>
        <v>841906</v>
      </c>
      <c r="B23" s="339" t="str">
        <f>'[5]2010_2a_mell_eredetiei'!S4</f>
        <v>finanszírozási műveletek</v>
      </c>
      <c r="C23" s="343"/>
      <c r="D23" s="343"/>
      <c r="E23" s="345"/>
      <c r="F23" s="342"/>
      <c r="G23" s="341"/>
      <c r="H23" s="343"/>
      <c r="I23" s="343"/>
      <c r="J23" s="343"/>
      <c r="K23" s="342"/>
    </row>
    <row r="24" spans="1:11" s="344" customFormat="1" ht="12.75">
      <c r="A24" s="338">
        <f>'[5]2010_2a_mell_eredetiei'!W3</f>
        <v>854234</v>
      </c>
      <c r="B24" s="339" t="str">
        <f>'[5]2010_2a_mell_eredetiei'!W4</f>
        <v>szociális ösztöndíjak</v>
      </c>
      <c r="C24" s="343"/>
      <c r="D24" s="343"/>
      <c r="E24" s="341"/>
      <c r="F24" s="342"/>
      <c r="G24" s="341"/>
      <c r="H24" s="343">
        <v>195</v>
      </c>
      <c r="I24" s="343">
        <v>195</v>
      </c>
      <c r="J24" s="343">
        <v>90</v>
      </c>
      <c r="K24" s="342">
        <f t="shared" si="0"/>
        <v>0.46153846153846156</v>
      </c>
    </row>
    <row r="25" spans="1:11" s="344" customFormat="1" ht="12.75">
      <c r="A25" s="338">
        <f>'[5]2010_2a_mell_eredetiei'!X3</f>
        <v>869041</v>
      </c>
      <c r="B25" s="339" t="str">
        <f>'[5]2010_2a_mell_eredetiei'!X4</f>
        <v>Család és nővédelmi gondozás</v>
      </c>
      <c r="C25" s="343">
        <v>4460</v>
      </c>
      <c r="D25" s="343">
        <v>4460</v>
      </c>
      <c r="E25" s="345">
        <v>2107</v>
      </c>
      <c r="F25" s="342">
        <f>E25/D25</f>
        <v>0.47242152466367715</v>
      </c>
      <c r="G25" s="341"/>
      <c r="H25" s="343">
        <v>6174</v>
      </c>
      <c r="I25" s="343">
        <v>6204</v>
      </c>
      <c r="J25" s="343">
        <v>2862</v>
      </c>
      <c r="K25" s="342">
        <f t="shared" si="0"/>
        <v>0.46131528046421666</v>
      </c>
    </row>
    <row r="26" spans="1:11" s="344" customFormat="1" ht="12.75">
      <c r="A26" s="338">
        <f>'[5]2010_2a_mell_eredetiei'!Y3</f>
        <v>882111</v>
      </c>
      <c r="B26" s="339" t="str">
        <f>'[5]2010_2a_mell_eredetiei'!Y4</f>
        <v>rendszeres szociális segély</v>
      </c>
      <c r="C26" s="343"/>
      <c r="D26" s="343"/>
      <c r="E26" s="341"/>
      <c r="F26" s="342"/>
      <c r="G26" s="341"/>
      <c r="H26" s="343">
        <v>15776</v>
      </c>
      <c r="I26" s="343">
        <v>15776</v>
      </c>
      <c r="J26" s="343">
        <v>6567</v>
      </c>
      <c r="K26" s="342">
        <f t="shared" si="0"/>
        <v>0.4162652129817444</v>
      </c>
    </row>
    <row r="27" spans="1:11" s="344" customFormat="1" ht="12.75">
      <c r="A27" s="338">
        <f>'[5]2010_2a_mell_eredetiei'!Z3</f>
        <v>882112</v>
      </c>
      <c r="B27" s="339" t="str">
        <f>'[5]2010_2a_mell_eredetiei'!Z4</f>
        <v>időskorúak járadéka</v>
      </c>
      <c r="C27" s="343"/>
      <c r="D27" s="343"/>
      <c r="E27" s="341"/>
      <c r="F27" s="342"/>
      <c r="G27" s="341"/>
      <c r="H27" s="343">
        <v>1214</v>
      </c>
      <c r="I27" s="343">
        <v>1214</v>
      </c>
      <c r="J27" s="343">
        <v>607</v>
      </c>
      <c r="K27" s="342">
        <f t="shared" si="0"/>
        <v>0.5</v>
      </c>
    </row>
    <row r="28" spans="1:11" s="344" customFormat="1" ht="12.75">
      <c r="A28" s="338">
        <f>'[5]2010_2a_mell_eredetiei'!AA3</f>
        <v>882113</v>
      </c>
      <c r="B28" s="339" t="str">
        <f>'[5]2010_2a_mell_eredetiei'!AA4</f>
        <v>normatív lakásfenntartási támogatás</v>
      </c>
      <c r="C28" s="343"/>
      <c r="D28" s="343"/>
      <c r="E28" s="341"/>
      <c r="F28" s="342"/>
      <c r="G28" s="341"/>
      <c r="H28" s="343">
        <v>2880</v>
      </c>
      <c r="I28" s="343">
        <v>2880</v>
      </c>
      <c r="J28" s="343">
        <v>1536</v>
      </c>
      <c r="K28" s="342">
        <f t="shared" si="0"/>
        <v>0.5333333333333333</v>
      </c>
    </row>
    <row r="29" spans="1:11" s="344" customFormat="1" ht="12.75">
      <c r="A29" s="338">
        <f>'[5]2010_2a_mell_eredetiei'!AB3</f>
        <v>882114</v>
      </c>
      <c r="B29" s="339" t="str">
        <f>'[5]2010_2a_mell_eredetiei'!AB4</f>
        <v>helyi lakásfenntartási támogatás</v>
      </c>
      <c r="C29" s="343"/>
      <c r="D29" s="343"/>
      <c r="E29" s="341"/>
      <c r="F29" s="342"/>
      <c r="G29" s="341"/>
      <c r="H29" s="343"/>
      <c r="I29" s="343"/>
      <c r="J29" s="347"/>
      <c r="K29" s="342"/>
    </row>
    <row r="30" spans="1:11" s="344" customFormat="1" ht="12.75">
      <c r="A30" s="338">
        <f>'[5]2010_2a_mell_eredetiei'!AC3</f>
        <v>882115</v>
      </c>
      <c r="B30" s="339" t="str">
        <f>'[5]2010_2a_mell_eredetiei'!AC4</f>
        <v>Ápolási díj alanyi jogon</v>
      </c>
      <c r="C30" s="343"/>
      <c r="D30" s="343"/>
      <c r="E30" s="341"/>
      <c r="F30" s="342"/>
      <c r="G30" s="341"/>
      <c r="H30" s="343">
        <v>5725</v>
      </c>
      <c r="I30" s="343">
        <v>5725</v>
      </c>
      <c r="J30" s="343">
        <v>2586</v>
      </c>
      <c r="K30" s="342">
        <f t="shared" si="0"/>
        <v>0.45170305676855893</v>
      </c>
    </row>
    <row r="31" spans="1:11" s="344" customFormat="1" ht="12.75">
      <c r="A31" s="338">
        <f>'[5]2010_2a_mell_eredetiei'!AD3</f>
        <v>882116</v>
      </c>
      <c r="B31" s="339" t="str">
        <f>'[5]2010_2a_mell_eredetiei'!AD4</f>
        <v>Ápolási díj méltányossági jogon</v>
      </c>
      <c r="C31" s="343"/>
      <c r="D31" s="343"/>
      <c r="E31" s="341"/>
      <c r="F31" s="342"/>
      <c r="G31" s="341"/>
      <c r="H31" s="343">
        <v>878</v>
      </c>
      <c r="I31" s="343">
        <v>878</v>
      </c>
      <c r="J31" s="343">
        <v>335</v>
      </c>
      <c r="K31" s="342">
        <f t="shared" si="0"/>
        <v>0.3815489749430524</v>
      </c>
    </row>
    <row r="32" spans="1:11" s="344" customFormat="1" ht="12.75">
      <c r="A32" s="338">
        <f>'[5]2010_2a_mell_eredetiei'!AE3</f>
        <v>882117</v>
      </c>
      <c r="B32" s="339" t="str">
        <f>'[5]2010_2a_mell_eredetiei'!AE4</f>
        <v>rendszeres gyermekvédelmi pénzbeli ellátás</v>
      </c>
      <c r="C32" s="343"/>
      <c r="D32" s="343"/>
      <c r="E32" s="345"/>
      <c r="F32" s="342"/>
      <c r="G32" s="341"/>
      <c r="H32" s="343">
        <v>2162</v>
      </c>
      <c r="I32" s="343">
        <v>2162</v>
      </c>
      <c r="J32" s="343">
        <v>1117</v>
      </c>
      <c r="K32" s="342">
        <f t="shared" si="0"/>
        <v>0.5166512488436633</v>
      </c>
    </row>
    <row r="33" spans="1:11" s="344" customFormat="1" ht="12.75">
      <c r="A33" s="338">
        <f>'[5]2010_2a_mell_eredetiei'!AF3</f>
        <v>882118</v>
      </c>
      <c r="B33" s="339" t="str">
        <f>'[5]2010_2a_mell_eredetiei'!AF4</f>
        <v>kiegészítő gyermekvédelmi támogatás</v>
      </c>
      <c r="C33" s="343"/>
      <c r="D33" s="343"/>
      <c r="E33" s="341"/>
      <c r="F33" s="342"/>
      <c r="G33" s="341"/>
      <c r="H33" s="343"/>
      <c r="I33" s="343"/>
      <c r="J33" s="347"/>
      <c r="K33" s="342"/>
    </row>
    <row r="34" spans="1:11" s="344" customFormat="1" ht="12.75">
      <c r="A34" s="338">
        <f>'[5]2010_2a_mell_eredetiei'!AG3</f>
        <v>882119</v>
      </c>
      <c r="B34" s="339" t="str">
        <f>'[5]2010_2a_mell_eredetiei'!AG4</f>
        <v>óvodáztatási támogatás</v>
      </c>
      <c r="C34" s="343"/>
      <c r="D34" s="343"/>
      <c r="E34" s="341"/>
      <c r="F34" s="342"/>
      <c r="G34" s="341"/>
      <c r="H34" s="343"/>
      <c r="I34" s="343"/>
      <c r="J34" s="347"/>
      <c r="K34" s="342"/>
    </row>
    <row r="35" spans="1:11" s="344" customFormat="1" ht="12.75">
      <c r="A35" s="338">
        <f>'[5]2010_2a_mell_eredetiei'!AH3</f>
        <v>882121</v>
      </c>
      <c r="B35" s="339" t="str">
        <f>'[5]2010_2a_mell_eredetiei'!AH4</f>
        <v>helyi eseti lakásfenntartási támogatás</v>
      </c>
      <c r="C35" s="343"/>
      <c r="D35" s="343"/>
      <c r="E35" s="341"/>
      <c r="F35" s="342"/>
      <c r="G35" s="341"/>
      <c r="H35" s="343"/>
      <c r="I35" s="343"/>
      <c r="J35" s="347"/>
      <c r="K35" s="342"/>
    </row>
    <row r="36" spans="1:11" s="344" customFormat="1" ht="12.75">
      <c r="A36" s="338">
        <f>'[5]2010_2a_mell_eredetiei'!AI3</f>
        <v>882122</v>
      </c>
      <c r="B36" s="339" t="str">
        <f>'[5]2010_2a_mell_eredetiei'!AI4</f>
        <v>átmeneti segély</v>
      </c>
      <c r="C36" s="343"/>
      <c r="D36" s="343"/>
      <c r="E36" s="341"/>
      <c r="F36" s="342"/>
      <c r="G36" s="341"/>
      <c r="H36" s="343">
        <v>500</v>
      </c>
      <c r="I36" s="343">
        <v>500</v>
      </c>
      <c r="J36" s="343">
        <v>122</v>
      </c>
      <c r="K36" s="342">
        <f t="shared" si="0"/>
        <v>0.244</v>
      </c>
    </row>
    <row r="37" spans="1:11" s="344" customFormat="1" ht="12.75">
      <c r="A37" s="338">
        <f>'[5]2010_2a_mell_eredetiei'!AJ3</f>
        <v>882123</v>
      </c>
      <c r="B37" s="339" t="str">
        <f>'[5]2010_2a_mell_eredetiei'!AJ4</f>
        <v>temetési segély</v>
      </c>
      <c r="C37" s="343"/>
      <c r="D37" s="343"/>
      <c r="E37" s="341"/>
      <c r="F37" s="342"/>
      <c r="G37" s="341"/>
      <c r="H37" s="343">
        <v>195</v>
      </c>
      <c r="I37" s="343">
        <v>195</v>
      </c>
      <c r="J37" s="343">
        <v>75</v>
      </c>
      <c r="K37" s="342">
        <f t="shared" si="0"/>
        <v>0.38461538461538464</v>
      </c>
    </row>
    <row r="38" spans="1:11" s="344" customFormat="1" ht="12.75">
      <c r="A38" s="338">
        <f>'[5]2010_2a_mell_eredetiei'!AK3</f>
        <v>882124</v>
      </c>
      <c r="B38" s="339" t="str">
        <f>'[5]2010_2a_mell_eredetiei'!AK4</f>
        <v>rendkívüli gyermekvédelmi támogatás</v>
      </c>
      <c r="C38" s="343"/>
      <c r="D38" s="343"/>
      <c r="E38" s="341"/>
      <c r="F38" s="342"/>
      <c r="G38" s="341"/>
      <c r="H38" s="343">
        <v>400</v>
      </c>
      <c r="I38" s="343">
        <v>400</v>
      </c>
      <c r="J38" s="343">
        <v>5</v>
      </c>
      <c r="K38" s="342">
        <f t="shared" si="0"/>
        <v>0.0125</v>
      </c>
    </row>
    <row r="39" spans="1:11" s="344" customFormat="1" ht="12.75">
      <c r="A39" s="338">
        <f>'[5]2010_2a_mell_eredetiei'!AL3</f>
        <v>882125</v>
      </c>
      <c r="B39" s="339" t="str">
        <f>'[5]2010_2a_mell_eredetiei'!AL4</f>
        <v>mozgás- korlátozottak közlekedési támogatása</v>
      </c>
      <c r="C39" s="343"/>
      <c r="D39" s="343"/>
      <c r="E39" s="341"/>
      <c r="F39" s="342"/>
      <c r="G39" s="341"/>
      <c r="H39" s="343">
        <v>207</v>
      </c>
      <c r="I39" s="343">
        <v>207</v>
      </c>
      <c r="J39" s="343">
        <v>115</v>
      </c>
      <c r="K39" s="342">
        <f t="shared" si="0"/>
        <v>0.5555555555555556</v>
      </c>
    </row>
    <row r="40" spans="1:11" s="344" customFormat="1" ht="12.75">
      <c r="A40" s="338">
        <f>'[5]2010_2a_mell_eredetiei'!AM3</f>
        <v>882129</v>
      </c>
      <c r="B40" s="339" t="str">
        <f>'[5]2010_2a_mell_eredetiei'!AM4</f>
        <v>egyéb eseti pénzbeli ellátások</v>
      </c>
      <c r="C40" s="343"/>
      <c r="D40" s="343"/>
      <c r="E40" s="345"/>
      <c r="F40" s="342"/>
      <c r="G40" s="341"/>
      <c r="H40" s="343">
        <v>593</v>
      </c>
      <c r="I40" s="343">
        <v>593</v>
      </c>
      <c r="J40" s="343"/>
      <c r="K40" s="342">
        <f t="shared" si="0"/>
        <v>0</v>
      </c>
    </row>
    <row r="41" spans="1:11" s="344" customFormat="1" ht="12.75">
      <c r="A41" s="338">
        <f>'[5]2010_2a_mell_eredetiei'!AN3</f>
        <v>882202</v>
      </c>
      <c r="B41" s="339" t="str">
        <f>'[5]2010_2a_mell_eredetiei'!AN4</f>
        <v>közgyógyellátás</v>
      </c>
      <c r="C41" s="343"/>
      <c r="D41" s="343"/>
      <c r="E41" s="341"/>
      <c r="F41" s="342"/>
      <c r="G41" s="341"/>
      <c r="H41" s="343">
        <v>223</v>
      </c>
      <c r="I41" s="343">
        <v>223</v>
      </c>
      <c r="J41" s="343">
        <v>137</v>
      </c>
      <c r="K41" s="342">
        <f t="shared" si="0"/>
        <v>0.6143497757847534</v>
      </c>
    </row>
    <row r="42" spans="1:11" s="344" customFormat="1" ht="12.75">
      <c r="A42" s="338">
        <f>'[5]2010_2a_mell_eredetiei'!AO3</f>
        <v>882203</v>
      </c>
      <c r="B42" s="339" t="str">
        <f>'[5]2010_2a_mell_eredetiei'!AO4</f>
        <v>köztemetés</v>
      </c>
      <c r="C42" s="343"/>
      <c r="D42" s="343"/>
      <c r="E42" s="341">
        <v>78</v>
      </c>
      <c r="F42" s="342"/>
      <c r="G42" s="341"/>
      <c r="H42" s="343">
        <v>400</v>
      </c>
      <c r="I42" s="343">
        <v>473</v>
      </c>
      <c r="J42" s="343">
        <v>73</v>
      </c>
      <c r="K42" s="342">
        <f t="shared" si="0"/>
        <v>0.1543340380549683</v>
      </c>
    </row>
    <row r="43" spans="1:11" s="344" customFormat="1" ht="12.75">
      <c r="A43" s="338">
        <f>'[5]2010_2a_mell_eredetiei'!AP3</f>
        <v>889921</v>
      </c>
      <c r="B43" s="339" t="str">
        <f>'[5]2010_2a_mell_eredetiei'!AP4</f>
        <v>szociális étkeztetés</v>
      </c>
      <c r="C43" s="343"/>
      <c r="D43" s="343"/>
      <c r="E43" s="341"/>
      <c r="F43" s="342"/>
      <c r="G43" s="341"/>
      <c r="H43" s="343">
        <v>2242</v>
      </c>
      <c r="I43" s="343">
        <v>2750</v>
      </c>
      <c r="J43" s="343">
        <v>1545</v>
      </c>
      <c r="K43" s="342">
        <f t="shared" si="0"/>
        <v>0.5618181818181818</v>
      </c>
    </row>
    <row r="44" spans="1:11" s="344" customFormat="1" ht="12.75">
      <c r="A44" s="338">
        <f>'[5]2010_2a_mell_eredetiei'!AQ3</f>
        <v>889928</v>
      </c>
      <c r="B44" s="339" t="str">
        <f>'[5]2010_2a_mell_eredetiei'!AQ4</f>
        <v>tanyagondnoki szolgálat</v>
      </c>
      <c r="C44" s="343"/>
      <c r="D44" s="343"/>
      <c r="E44" s="341"/>
      <c r="F44" s="342"/>
      <c r="G44" s="341"/>
      <c r="H44" s="343">
        <v>3934</v>
      </c>
      <c r="I44" s="343">
        <v>3949</v>
      </c>
      <c r="J44" s="343">
        <v>1729</v>
      </c>
      <c r="K44" s="342">
        <f t="shared" si="0"/>
        <v>0.437832362623449</v>
      </c>
    </row>
    <row r="45" spans="1:11" s="344" customFormat="1" ht="12.75" customHeight="1">
      <c r="A45" s="338">
        <f>'[5]2010_2a_mell_eredetiei'!AR3</f>
        <v>889969</v>
      </c>
      <c r="B45" s="339" t="str">
        <f>'[5]2010_2a_mell_eredetiei'!AR4</f>
        <v>egyéb speciális ellátások (születési támogatás)</v>
      </c>
      <c r="C45" s="343"/>
      <c r="D45" s="343"/>
      <c r="E45" s="341"/>
      <c r="F45" s="342"/>
      <c r="G45" s="341"/>
      <c r="H45" s="343">
        <v>390</v>
      </c>
      <c r="I45" s="343">
        <v>390</v>
      </c>
      <c r="J45" s="343">
        <v>240</v>
      </c>
      <c r="K45" s="342">
        <f t="shared" si="0"/>
        <v>0.6153846153846154</v>
      </c>
    </row>
    <row r="46" spans="1:11" s="344" customFormat="1" ht="12.75" customHeight="1">
      <c r="A46" s="338">
        <f>'[5]2010_2a_mell_eredetiei'!AS3</f>
        <v>890301</v>
      </c>
      <c r="B46" s="339" t="str">
        <f>'[5]2010_2a_mell_eredetiei'!AS4</f>
        <v>civil szervezetek működése támogatása</v>
      </c>
      <c r="C46" s="343"/>
      <c r="D46" s="343"/>
      <c r="E46" s="341"/>
      <c r="F46" s="342"/>
      <c r="G46" s="341"/>
      <c r="H46" s="343"/>
      <c r="I46" s="343"/>
      <c r="J46" s="347"/>
      <c r="K46" s="342"/>
    </row>
    <row r="47" spans="1:11" s="344" customFormat="1" ht="12.75" customHeight="1">
      <c r="A47" s="338">
        <f>'[5]2010_2a_mell_eredetiei'!AT3</f>
        <v>890441</v>
      </c>
      <c r="B47" s="339" t="s">
        <v>342</v>
      </c>
      <c r="C47" s="343">
        <v>3000</v>
      </c>
      <c r="D47" s="343">
        <v>3000</v>
      </c>
      <c r="E47" s="341">
        <v>425</v>
      </c>
      <c r="F47" s="342">
        <f>E47/D47</f>
        <v>0.14166666666666666</v>
      </c>
      <c r="G47" s="341"/>
      <c r="H47" s="343">
        <v>2463</v>
      </c>
      <c r="I47" s="343">
        <v>5903</v>
      </c>
      <c r="J47" s="343">
        <v>3048</v>
      </c>
      <c r="K47" s="342">
        <f t="shared" si="0"/>
        <v>0.5163476198543113</v>
      </c>
    </row>
    <row r="48" spans="1:11" s="344" customFormat="1" ht="12.75" customHeight="1">
      <c r="A48" s="338">
        <f>'[5]2010_2a_mell_eredetiei'!AU3</f>
        <v>890442</v>
      </c>
      <c r="B48" s="339" t="s">
        <v>343</v>
      </c>
      <c r="C48" s="343">
        <v>1620</v>
      </c>
      <c r="D48" s="343">
        <v>1620</v>
      </c>
      <c r="E48" s="341"/>
      <c r="F48" s="342">
        <f>E48/D48</f>
        <v>0</v>
      </c>
      <c r="G48" s="341"/>
      <c r="H48" s="343">
        <v>4634</v>
      </c>
      <c r="I48" s="343">
        <v>1194</v>
      </c>
      <c r="J48" s="343"/>
      <c r="K48" s="342">
        <f t="shared" si="0"/>
        <v>0</v>
      </c>
    </row>
    <row r="49" spans="1:11" s="344" customFormat="1" ht="12.75" customHeight="1">
      <c r="A49" s="338">
        <v>890443</v>
      </c>
      <c r="B49" s="339" t="s">
        <v>344</v>
      </c>
      <c r="C49" s="343"/>
      <c r="D49" s="343"/>
      <c r="E49" s="341"/>
      <c r="F49" s="342"/>
      <c r="G49" s="341"/>
      <c r="H49" s="343"/>
      <c r="I49" s="343"/>
      <c r="J49" s="343">
        <v>484</v>
      </c>
      <c r="K49" s="342"/>
    </row>
    <row r="50" spans="1:11" s="344" customFormat="1" ht="12.75" customHeight="1">
      <c r="A50" s="338">
        <f>'[5]2010_2a_mell_eredetiei'!AV3</f>
        <v>910123</v>
      </c>
      <c r="B50" s="339" t="str">
        <f>'[5]2010_2a_mell_eredetiei'!AV4</f>
        <v>könyvtári szolgáltatások</v>
      </c>
      <c r="C50" s="343"/>
      <c r="D50" s="343"/>
      <c r="E50" s="341"/>
      <c r="F50" s="342"/>
      <c r="G50" s="341"/>
      <c r="H50" s="343">
        <v>778</v>
      </c>
      <c r="I50" s="343">
        <v>901</v>
      </c>
      <c r="J50" s="347">
        <v>295</v>
      </c>
      <c r="K50" s="342">
        <f t="shared" si="0"/>
        <v>0.3274139844617092</v>
      </c>
    </row>
    <row r="51" spans="1:11" s="344" customFormat="1" ht="12.75" customHeight="1">
      <c r="A51" s="338">
        <f>'[5]2010_2a_mell_eredetiei'!AX3</f>
        <v>910502</v>
      </c>
      <c r="B51" s="339" t="str">
        <f>'[5]2010_2a_mell_eredetiei'!AX4</f>
        <v>közösségi színterek működtetése</v>
      </c>
      <c r="C51" s="343">
        <v>280</v>
      </c>
      <c r="D51" s="343">
        <v>280</v>
      </c>
      <c r="E51" s="345">
        <v>168</v>
      </c>
      <c r="F51" s="342">
        <f>E51/D51</f>
        <v>0.6</v>
      </c>
      <c r="G51" s="341"/>
      <c r="H51" s="343">
        <v>7318</v>
      </c>
      <c r="I51" s="343">
        <v>6942</v>
      </c>
      <c r="J51" s="343">
        <v>2652</v>
      </c>
      <c r="K51" s="342">
        <f t="shared" si="0"/>
        <v>0.38202247191011235</v>
      </c>
    </row>
    <row r="52" spans="1:11" s="344" customFormat="1" ht="12.75" customHeight="1">
      <c r="A52" s="348">
        <f>'[5]2010_2a_mell_eredetiei'!AY3</f>
        <v>960302</v>
      </c>
      <c r="B52" s="339" t="str">
        <f>'[5]2010_2a_mell_eredetiei'!AY4</f>
        <v>köztemető fenntartás és működtetés</v>
      </c>
      <c r="C52" s="343">
        <v>474</v>
      </c>
      <c r="D52" s="343">
        <v>474</v>
      </c>
      <c r="E52" s="345">
        <v>272</v>
      </c>
      <c r="F52" s="342">
        <f>E52/D52</f>
        <v>0.5738396624472574</v>
      </c>
      <c r="G52" s="341"/>
      <c r="H52" s="343">
        <v>664</v>
      </c>
      <c r="I52" s="343">
        <v>664</v>
      </c>
      <c r="J52" s="343">
        <v>17</v>
      </c>
      <c r="K52" s="342">
        <f t="shared" si="0"/>
        <v>0.025602409638554216</v>
      </c>
    </row>
    <row r="53" spans="1:11" s="344" customFormat="1" ht="12.75">
      <c r="A53" s="338"/>
      <c r="B53" s="349" t="s">
        <v>336</v>
      </c>
      <c r="C53" s="347"/>
      <c r="D53" s="347"/>
      <c r="E53" s="345"/>
      <c r="F53" s="342"/>
      <c r="G53" s="341"/>
      <c r="H53" s="347"/>
      <c r="I53" s="347"/>
      <c r="J53" s="343"/>
      <c r="K53" s="342"/>
    </row>
    <row r="54" spans="1:12" s="344" customFormat="1" ht="12.75">
      <c r="A54" s="591" t="s">
        <v>337</v>
      </c>
      <c r="B54" s="591"/>
      <c r="C54" s="350">
        <f>SUM(C7:C53)+1</f>
        <v>298256</v>
      </c>
      <c r="D54" s="350">
        <f>SUM(D7:D53)</f>
        <v>328702</v>
      </c>
      <c r="E54" s="350">
        <f>SUM(E7:E53)</f>
        <v>196275</v>
      </c>
      <c r="F54" s="351">
        <f>E54/D54</f>
        <v>0.5971214047982671</v>
      </c>
      <c r="G54" s="350">
        <f>SUM(G8:G53)</f>
        <v>0</v>
      </c>
      <c r="H54" s="350">
        <f>SUM(H7:H53)</f>
        <v>352886</v>
      </c>
      <c r="I54" s="350">
        <f>SUM(I7:I53)</f>
        <v>395841</v>
      </c>
      <c r="J54" s="350">
        <f>SUM(J7:J53)</f>
        <v>250896</v>
      </c>
      <c r="K54" s="351">
        <f>J54/I54</f>
        <v>0.6338302500246311</v>
      </c>
      <c r="L54" s="337"/>
    </row>
    <row r="55" spans="1:12" s="344" customFormat="1" ht="12.75">
      <c r="A55" s="592"/>
      <c r="B55" s="593"/>
      <c r="C55" s="593"/>
      <c r="D55" s="593"/>
      <c r="E55" s="593"/>
      <c r="F55" s="593"/>
      <c r="G55" s="593"/>
      <c r="H55" s="593"/>
      <c r="I55" s="593"/>
      <c r="J55" s="593"/>
      <c r="K55" s="594"/>
      <c r="L55" s="337"/>
    </row>
    <row r="56" spans="1:11" s="344" customFormat="1" ht="15" customHeight="1">
      <c r="A56" s="338">
        <f>'[5]2010_2a_mell_eredetiei'!V3</f>
        <v>841908</v>
      </c>
      <c r="B56" s="595" t="s">
        <v>338</v>
      </c>
      <c r="C56" s="596"/>
      <c r="D56" s="596"/>
      <c r="E56" s="596"/>
      <c r="F56" s="597"/>
      <c r="G56" s="341"/>
      <c r="H56" s="343">
        <v>8790</v>
      </c>
      <c r="I56" s="343">
        <v>5394</v>
      </c>
      <c r="J56" s="587"/>
      <c r="K56" s="588"/>
    </row>
    <row r="57" spans="1:11" s="344" customFormat="1" ht="12.75">
      <c r="A57" s="338">
        <v>841908</v>
      </c>
      <c r="B57" s="584" t="s">
        <v>339</v>
      </c>
      <c r="C57" s="585"/>
      <c r="D57" s="585"/>
      <c r="E57" s="585"/>
      <c r="F57" s="586"/>
      <c r="G57" s="341"/>
      <c r="H57" s="343">
        <v>14000</v>
      </c>
      <c r="I57" s="340">
        <v>14000</v>
      </c>
      <c r="J57" s="589"/>
      <c r="K57" s="590"/>
    </row>
    <row r="59" spans="8:11" ht="12.75">
      <c r="H59" s="355">
        <f>H54+H56+H57</f>
        <v>375676</v>
      </c>
      <c r="I59" s="355">
        <f>I54+I56+I57</f>
        <v>415235</v>
      </c>
      <c r="J59" s="355">
        <f>J54+J56+J57</f>
        <v>250896</v>
      </c>
      <c r="K59" s="351">
        <f>J59/I59</f>
        <v>0.6042265223307284</v>
      </c>
    </row>
    <row r="60" spans="1:7" s="344" customFormat="1" ht="12.75">
      <c r="A60" s="352"/>
      <c r="B60" s="353" t="s">
        <v>185</v>
      </c>
      <c r="C60" s="353" t="s">
        <v>340</v>
      </c>
      <c r="D60" s="353"/>
      <c r="E60" s="354"/>
      <c r="F60" s="354"/>
      <c r="G60" s="354"/>
    </row>
    <row r="61" spans="1:7" s="344" customFormat="1" ht="12.75">
      <c r="A61" s="352"/>
      <c r="B61" s="353"/>
      <c r="C61" s="353"/>
      <c r="E61" s="354"/>
      <c r="F61" s="354"/>
      <c r="G61" s="354"/>
    </row>
    <row r="62" spans="1:7" s="344" customFormat="1" ht="12.75">
      <c r="A62" s="352"/>
      <c r="B62" s="353"/>
      <c r="C62" s="353"/>
      <c r="D62" s="353"/>
      <c r="E62" s="354"/>
      <c r="F62" s="354"/>
      <c r="G62" s="354"/>
    </row>
    <row r="63" spans="1:7" s="344" customFormat="1" ht="12.75">
      <c r="A63" s="352"/>
      <c r="B63" s="353"/>
      <c r="C63" s="353"/>
      <c r="E63" s="354"/>
      <c r="F63" s="354"/>
      <c r="G63" s="354"/>
    </row>
    <row r="64" spans="1:7" s="344" customFormat="1" ht="12.75">
      <c r="A64" s="352"/>
      <c r="B64" s="353"/>
      <c r="C64" s="353"/>
      <c r="D64" s="353"/>
      <c r="E64" s="354"/>
      <c r="F64" s="354"/>
      <c r="G64" s="354"/>
    </row>
    <row r="65" spans="1:7" s="344" customFormat="1" ht="12.75">
      <c r="A65" s="352"/>
      <c r="B65" s="353"/>
      <c r="C65" s="353"/>
      <c r="D65" s="353"/>
      <c r="E65" s="354"/>
      <c r="F65" s="354"/>
      <c r="G65" s="354"/>
    </row>
    <row r="66" spans="1:7" s="344" customFormat="1" ht="12.75">
      <c r="A66" s="352"/>
      <c r="B66" s="353"/>
      <c r="C66" s="353"/>
      <c r="D66" s="353"/>
      <c r="E66" s="354"/>
      <c r="F66" s="354"/>
      <c r="G66" s="354"/>
    </row>
    <row r="67" spans="1:7" s="344" customFormat="1" ht="12.75">
      <c r="A67" s="352"/>
      <c r="B67" s="353"/>
      <c r="C67" s="353"/>
      <c r="D67" s="353"/>
      <c r="E67" s="354"/>
      <c r="F67" s="354"/>
      <c r="G67" s="354"/>
    </row>
    <row r="68" spans="1:7" s="344" customFormat="1" ht="12.75">
      <c r="A68" s="352"/>
      <c r="B68" s="353"/>
      <c r="C68" s="353"/>
      <c r="D68" s="353"/>
      <c r="E68" s="354"/>
      <c r="F68" s="354"/>
      <c r="G68" s="354"/>
    </row>
    <row r="69" spans="1:7" s="344" customFormat="1" ht="12.75">
      <c r="A69" s="352"/>
      <c r="B69" s="353"/>
      <c r="C69" s="353"/>
      <c r="D69" s="353"/>
      <c r="E69" s="354"/>
      <c r="F69" s="354"/>
      <c r="G69" s="354"/>
    </row>
    <row r="70" spans="1:7" s="344" customFormat="1" ht="12.75">
      <c r="A70" s="352"/>
      <c r="B70" s="353"/>
      <c r="C70" s="353"/>
      <c r="D70" s="353"/>
      <c r="E70" s="354"/>
      <c r="F70" s="354"/>
      <c r="G70" s="354"/>
    </row>
    <row r="71" spans="1:7" s="344" customFormat="1" ht="12.75">
      <c r="A71" s="352"/>
      <c r="B71" s="353"/>
      <c r="C71" s="353"/>
      <c r="D71" s="353"/>
      <c r="E71" s="354"/>
      <c r="F71" s="354"/>
      <c r="G71" s="354"/>
    </row>
    <row r="72" spans="1:7" s="344" customFormat="1" ht="12.75">
      <c r="A72" s="352"/>
      <c r="B72" s="353"/>
      <c r="C72" s="353"/>
      <c r="D72" s="353"/>
      <c r="E72" s="354"/>
      <c r="F72" s="354"/>
      <c r="G72" s="354"/>
    </row>
    <row r="73" spans="1:7" s="344" customFormat="1" ht="12.75">
      <c r="A73" s="352"/>
      <c r="B73" s="353"/>
      <c r="C73" s="353"/>
      <c r="D73" s="353"/>
      <c r="E73" s="354"/>
      <c r="F73" s="354"/>
      <c r="G73" s="354"/>
    </row>
    <row r="74" spans="1:7" s="344" customFormat="1" ht="12.75">
      <c r="A74" s="352"/>
      <c r="B74" s="353"/>
      <c r="C74" s="353"/>
      <c r="D74" s="353"/>
      <c r="E74" s="354"/>
      <c r="F74" s="354"/>
      <c r="G74" s="354"/>
    </row>
    <row r="75" spans="1:7" s="344" customFormat="1" ht="12.75">
      <c r="A75" s="352"/>
      <c r="B75" s="353"/>
      <c r="C75" s="353"/>
      <c r="D75" s="353"/>
      <c r="E75" s="354"/>
      <c r="F75" s="354"/>
      <c r="G75" s="354"/>
    </row>
    <row r="76" spans="5:6" ht="12.75">
      <c r="E76" s="59"/>
      <c r="F76" s="59"/>
    </row>
    <row r="77" spans="5:6" ht="12.75">
      <c r="E77" s="59"/>
      <c r="F77" s="59"/>
    </row>
    <row r="78" spans="5:6" ht="12.75">
      <c r="E78" s="59"/>
      <c r="F78" s="59"/>
    </row>
    <row r="79" spans="5:6" ht="12.75">
      <c r="E79" s="59"/>
      <c r="F79" s="59"/>
    </row>
    <row r="80" spans="5:6" ht="12.75">
      <c r="E80" s="59"/>
      <c r="F80" s="59"/>
    </row>
    <row r="81" spans="5:6" ht="12.75">
      <c r="E81" s="59"/>
      <c r="F81" s="59"/>
    </row>
    <row r="82" spans="5:6" ht="12.75">
      <c r="E82" s="59"/>
      <c r="F82" s="59"/>
    </row>
    <row r="83" spans="5:6" ht="12.75">
      <c r="E83" s="59"/>
      <c r="F83" s="59"/>
    </row>
    <row r="84" spans="5:6" ht="12.75">
      <c r="E84" s="59"/>
      <c r="F84" s="59"/>
    </row>
    <row r="85" spans="5:6" ht="12.75">
      <c r="E85" s="59"/>
      <c r="F85" s="59"/>
    </row>
    <row r="86" spans="5:6" ht="12.75">
      <c r="E86" s="59"/>
      <c r="F86" s="59"/>
    </row>
    <row r="87" spans="5:6" ht="12.75">
      <c r="E87" s="59"/>
      <c r="F87" s="59"/>
    </row>
    <row r="88" spans="5:6" ht="12.75">
      <c r="E88" s="59"/>
      <c r="F88" s="59"/>
    </row>
    <row r="89" spans="1:256" s="59" customFormat="1" ht="12.75">
      <c r="A89" s="333"/>
      <c r="B89" s="58"/>
      <c r="C89" s="58"/>
      <c r="D89" s="58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59" customFormat="1" ht="12.75">
      <c r="A90" s="333"/>
      <c r="B90" s="58"/>
      <c r="C90" s="58"/>
      <c r="D90" s="58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59" customFormat="1" ht="12.75">
      <c r="A91" s="333"/>
      <c r="B91" s="58"/>
      <c r="C91" s="58"/>
      <c r="D91" s="58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59" customFormat="1" ht="12.75">
      <c r="A92" s="333"/>
      <c r="B92" s="58"/>
      <c r="C92" s="58"/>
      <c r="D92" s="58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59" customFormat="1" ht="12.75">
      <c r="A93" s="333"/>
      <c r="B93" s="58"/>
      <c r="C93" s="58"/>
      <c r="D93" s="58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59" customFormat="1" ht="12.75">
      <c r="A94" s="333"/>
      <c r="B94" s="58"/>
      <c r="C94" s="58"/>
      <c r="D94" s="58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59" customFormat="1" ht="12.75">
      <c r="A95" s="333"/>
      <c r="B95" s="58"/>
      <c r="C95" s="58"/>
      <c r="D95" s="58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59" customFormat="1" ht="12.75">
      <c r="A96" s="333"/>
      <c r="B96" s="58"/>
      <c r="C96" s="58"/>
      <c r="D96" s="58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59" customFormat="1" ht="12.75">
      <c r="A97" s="333"/>
      <c r="B97" s="58"/>
      <c r="C97" s="58"/>
      <c r="D97" s="58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59" customFormat="1" ht="12.75">
      <c r="A98" s="333"/>
      <c r="B98" s="58"/>
      <c r="C98" s="58"/>
      <c r="D98" s="58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59" customFormat="1" ht="12.75">
      <c r="A99" s="333"/>
      <c r="B99" s="58"/>
      <c r="C99" s="58"/>
      <c r="D99" s="58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59" customFormat="1" ht="12.75">
      <c r="A100" s="333"/>
      <c r="B100" s="58"/>
      <c r="C100" s="58"/>
      <c r="D100" s="5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59" customFormat="1" ht="12.75">
      <c r="A101" s="333"/>
      <c r="B101" s="58"/>
      <c r="C101" s="58"/>
      <c r="D101" s="58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59" customFormat="1" ht="12.75">
      <c r="A102" s="333"/>
      <c r="B102" s="58"/>
      <c r="C102" s="58"/>
      <c r="D102" s="58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59" customFormat="1" ht="12.75">
      <c r="A103" s="333"/>
      <c r="B103" s="58"/>
      <c r="C103" s="58"/>
      <c r="D103" s="58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59" customFormat="1" ht="12.75">
      <c r="A104" s="333"/>
      <c r="B104" s="58"/>
      <c r="C104" s="58"/>
      <c r="D104" s="58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59" customFormat="1" ht="12.75">
      <c r="A105" s="333"/>
      <c r="B105" s="58"/>
      <c r="C105" s="58"/>
      <c r="D105" s="58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59" customFormat="1" ht="12.75">
      <c r="A106" s="333"/>
      <c r="B106" s="58"/>
      <c r="C106" s="58"/>
      <c r="D106" s="58"/>
      <c r="E106" s="58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59" customFormat="1" ht="12.75">
      <c r="A107" s="333"/>
      <c r="B107" s="58"/>
      <c r="C107" s="58"/>
      <c r="D107" s="58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59" customFormat="1" ht="12.75">
      <c r="A108" s="333"/>
      <c r="B108" s="58"/>
      <c r="C108" s="58"/>
      <c r="D108" s="58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59" customFormat="1" ht="12.75">
      <c r="A109" s="333"/>
      <c r="B109" s="58"/>
      <c r="C109" s="58"/>
      <c r="D109" s="58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59" customFormat="1" ht="12.75">
      <c r="A110" s="333"/>
      <c r="B110" s="58"/>
      <c r="C110" s="58"/>
      <c r="D110" s="58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59" customFormat="1" ht="12.75">
      <c r="A111" s="333"/>
      <c r="B111" s="58"/>
      <c r="C111" s="58"/>
      <c r="D111" s="58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59" customFormat="1" ht="12.75">
      <c r="A112" s="333"/>
      <c r="B112" s="58"/>
      <c r="C112" s="58"/>
      <c r="D112" s="58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59" customFormat="1" ht="12.75">
      <c r="A113" s="333"/>
      <c r="B113" s="58"/>
      <c r="C113" s="58"/>
      <c r="D113" s="58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59" customFormat="1" ht="12.75">
      <c r="A114" s="333"/>
      <c r="B114" s="58"/>
      <c r="C114" s="58"/>
      <c r="D114" s="58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59" customFormat="1" ht="12.75">
      <c r="A115" s="333"/>
      <c r="B115" s="58"/>
      <c r="C115" s="58"/>
      <c r="D115" s="58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59" customFormat="1" ht="12.75">
      <c r="A116" s="333"/>
      <c r="B116" s="58"/>
      <c r="C116" s="58"/>
      <c r="D116" s="58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59" customFormat="1" ht="12.75">
      <c r="A117" s="333"/>
      <c r="B117" s="58"/>
      <c r="C117" s="58"/>
      <c r="D117" s="58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59" customFormat="1" ht="12.75">
      <c r="A118" s="333"/>
      <c r="B118" s="58"/>
      <c r="C118" s="58"/>
      <c r="D118" s="58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59" customFormat="1" ht="12.75">
      <c r="A119" s="333"/>
      <c r="B119" s="58"/>
      <c r="C119" s="58"/>
      <c r="D119" s="58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59" customFormat="1" ht="12.75">
      <c r="A120" s="333"/>
      <c r="B120" s="58"/>
      <c r="C120" s="58"/>
      <c r="D120" s="58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59" customFormat="1" ht="12.75">
      <c r="A121" s="333"/>
      <c r="B121" s="58"/>
      <c r="C121" s="58"/>
      <c r="D121" s="58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59" customFormat="1" ht="12.75">
      <c r="A122" s="333"/>
      <c r="B122" s="58"/>
      <c r="C122" s="58"/>
      <c r="D122" s="58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59" customFormat="1" ht="12.75">
      <c r="A123" s="333"/>
      <c r="B123" s="58"/>
      <c r="C123" s="58"/>
      <c r="D123" s="58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59" customFormat="1" ht="12.75">
      <c r="A124" s="333"/>
      <c r="B124" s="58"/>
      <c r="C124" s="58"/>
      <c r="D124" s="58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59" customFormat="1" ht="12.75">
      <c r="A125" s="333"/>
      <c r="B125" s="58"/>
      <c r="C125" s="58"/>
      <c r="D125" s="58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59" customFormat="1" ht="12.75">
      <c r="A126" s="333"/>
      <c r="B126" s="58"/>
      <c r="C126" s="58"/>
      <c r="D126" s="58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59" customFormat="1" ht="12.75">
      <c r="A127" s="333"/>
      <c r="B127" s="58"/>
      <c r="C127" s="58"/>
      <c r="D127" s="58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59" customFormat="1" ht="12.75">
      <c r="A128" s="333"/>
      <c r="B128" s="58"/>
      <c r="C128" s="58"/>
      <c r="D128" s="58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59" customFormat="1" ht="12.75">
      <c r="A129" s="333"/>
      <c r="B129" s="58"/>
      <c r="C129" s="58"/>
      <c r="D129" s="58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59" customFormat="1" ht="12.75">
      <c r="A130" s="333"/>
      <c r="B130" s="58"/>
      <c r="C130" s="58"/>
      <c r="D130" s="58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59" customFormat="1" ht="12.75">
      <c r="A131" s="333"/>
      <c r="B131" s="58"/>
      <c r="C131" s="58"/>
      <c r="D131" s="58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59" customFormat="1" ht="12.75">
      <c r="A132" s="333"/>
      <c r="B132" s="58"/>
      <c r="C132" s="58"/>
      <c r="D132" s="5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59" customFormat="1" ht="12.75">
      <c r="A133" s="333"/>
      <c r="B133" s="58"/>
      <c r="C133" s="58"/>
      <c r="D133" s="5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59" customFormat="1" ht="12.75">
      <c r="A134" s="333"/>
      <c r="B134" s="58"/>
      <c r="C134" s="58"/>
      <c r="D134" s="5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59" customFormat="1" ht="12.75">
      <c r="A135" s="333"/>
      <c r="B135" s="58"/>
      <c r="C135" s="58"/>
      <c r="D135" s="5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59" customFormat="1" ht="12.75">
      <c r="A136" s="333"/>
      <c r="B136" s="58"/>
      <c r="C136" s="58"/>
      <c r="D136" s="5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59" customFormat="1" ht="12.75">
      <c r="A137" s="333"/>
      <c r="B137" s="58"/>
      <c r="C137" s="58"/>
      <c r="D137" s="5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59" customFormat="1" ht="12.75">
      <c r="A138" s="333"/>
      <c r="B138" s="58"/>
      <c r="C138" s="58"/>
      <c r="D138" s="5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59" customFormat="1" ht="12.75">
      <c r="A139" s="333"/>
      <c r="B139" s="58"/>
      <c r="C139" s="58"/>
      <c r="D139" s="5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59" customFormat="1" ht="12.75">
      <c r="A140" s="333"/>
      <c r="B140" s="58"/>
      <c r="C140" s="58"/>
      <c r="D140" s="5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59" customFormat="1" ht="12.75">
      <c r="A141" s="333"/>
      <c r="B141" s="58"/>
      <c r="C141" s="58"/>
      <c r="D141" s="5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59" customFormat="1" ht="12.75">
      <c r="A142" s="333"/>
      <c r="B142" s="58"/>
      <c r="C142" s="58"/>
      <c r="D142" s="5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59" customFormat="1" ht="12.75">
      <c r="A143" s="333"/>
      <c r="B143" s="58"/>
      <c r="C143" s="58"/>
      <c r="D143" s="5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59" customFormat="1" ht="12.75">
      <c r="A144" s="333"/>
      <c r="B144" s="58"/>
      <c r="C144" s="58"/>
      <c r="D144" s="5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59" customFormat="1" ht="12.75">
      <c r="A145" s="333"/>
      <c r="B145" s="58"/>
      <c r="C145" s="58"/>
      <c r="D145" s="58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59" customFormat="1" ht="12.75">
      <c r="A146" s="333"/>
      <c r="B146" s="58"/>
      <c r="C146" s="58"/>
      <c r="D146" s="58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59" customFormat="1" ht="12.75">
      <c r="A147" s="333"/>
      <c r="B147" s="58"/>
      <c r="C147" s="58"/>
      <c r="D147" s="58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59" customFormat="1" ht="12.75">
      <c r="A148" s="333"/>
      <c r="B148" s="58"/>
      <c r="C148" s="58"/>
      <c r="D148" s="58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59" customFormat="1" ht="12.75">
      <c r="A149" s="333"/>
      <c r="B149" s="58"/>
      <c r="C149" s="58"/>
      <c r="D149" s="58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59" customFormat="1" ht="12.75">
      <c r="A150" s="333"/>
      <c r="B150" s="58"/>
      <c r="C150" s="58"/>
      <c r="D150" s="58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59" customFormat="1" ht="12.75">
      <c r="A151" s="333"/>
      <c r="B151" s="58"/>
      <c r="C151" s="58"/>
      <c r="D151" s="58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59" customFormat="1" ht="12.75">
      <c r="A152" s="333"/>
      <c r="B152" s="58"/>
      <c r="C152" s="58"/>
      <c r="D152" s="58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59" customFormat="1" ht="12.75">
      <c r="A153" s="333"/>
      <c r="B153" s="58"/>
      <c r="C153" s="58"/>
      <c r="D153" s="58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59" customFormat="1" ht="12.75">
      <c r="A154" s="333"/>
      <c r="B154" s="58"/>
      <c r="C154" s="58"/>
      <c r="D154" s="58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59" customFormat="1" ht="12.75">
      <c r="A155" s="333"/>
      <c r="B155" s="58"/>
      <c r="C155" s="58"/>
      <c r="D155" s="58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59" customFormat="1" ht="12.75">
      <c r="A156" s="333"/>
      <c r="B156" s="58"/>
      <c r="C156" s="58"/>
      <c r="D156" s="58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59" customFormat="1" ht="12.75">
      <c r="A157" s="333"/>
      <c r="B157" s="58"/>
      <c r="C157" s="58"/>
      <c r="D157" s="58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59" customFormat="1" ht="12.75">
      <c r="A158" s="333"/>
      <c r="B158" s="58"/>
      <c r="C158" s="58"/>
      <c r="D158" s="58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59" customFormat="1" ht="12.75">
      <c r="A159" s="333"/>
      <c r="B159" s="58"/>
      <c r="C159" s="58"/>
      <c r="D159" s="58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59" customFormat="1" ht="12.75">
      <c r="A160" s="333"/>
      <c r="B160" s="58"/>
      <c r="C160" s="58"/>
      <c r="D160" s="58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59" customFormat="1" ht="12.75">
      <c r="A161" s="333"/>
      <c r="B161" s="58"/>
      <c r="C161" s="58"/>
      <c r="D161" s="58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59" customFormat="1" ht="12.75">
      <c r="A162" s="333"/>
      <c r="B162" s="58"/>
      <c r="C162" s="58"/>
      <c r="D162" s="58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59" customFormat="1" ht="12.75">
      <c r="A163" s="333"/>
      <c r="B163" s="58"/>
      <c r="C163" s="58"/>
      <c r="D163" s="58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59" customFormat="1" ht="12.75">
      <c r="A164" s="333"/>
      <c r="B164" s="58"/>
      <c r="C164" s="58"/>
      <c r="D164" s="58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59" customFormat="1" ht="12.75">
      <c r="A165" s="333"/>
      <c r="B165" s="58"/>
      <c r="C165" s="58"/>
      <c r="D165" s="58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59" customFormat="1" ht="12.75">
      <c r="A166" s="333"/>
      <c r="B166" s="58"/>
      <c r="C166" s="58"/>
      <c r="D166" s="58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59" customFormat="1" ht="12.75">
      <c r="A167" s="333"/>
      <c r="B167" s="58"/>
      <c r="C167" s="58"/>
      <c r="D167" s="58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59" customFormat="1" ht="12.75">
      <c r="A168" s="333"/>
      <c r="B168" s="58"/>
      <c r="C168" s="58"/>
      <c r="D168" s="58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59" customFormat="1" ht="12.75">
      <c r="A169" s="333"/>
      <c r="B169" s="58"/>
      <c r="C169" s="58"/>
      <c r="D169" s="58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59" customFormat="1" ht="12.75">
      <c r="A170" s="333"/>
      <c r="B170" s="58"/>
      <c r="C170" s="58"/>
      <c r="D170" s="58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59" customFormat="1" ht="12.75">
      <c r="A171" s="333"/>
      <c r="B171" s="58"/>
      <c r="C171" s="58"/>
      <c r="D171" s="58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59" customFormat="1" ht="12.75">
      <c r="A172" s="333"/>
      <c r="B172" s="58"/>
      <c r="C172" s="58"/>
      <c r="D172" s="58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59" customFormat="1" ht="12.75">
      <c r="A173" s="333"/>
      <c r="B173" s="58"/>
      <c r="C173" s="58"/>
      <c r="D173" s="58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59" customFormat="1" ht="12.75">
      <c r="A174" s="333"/>
      <c r="B174" s="58"/>
      <c r="C174" s="58"/>
      <c r="D174" s="58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59" customFormat="1" ht="12.75">
      <c r="A175" s="333"/>
      <c r="B175" s="58"/>
      <c r="C175" s="58"/>
      <c r="D175" s="58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59" customFormat="1" ht="12.75">
      <c r="A176" s="333"/>
      <c r="B176" s="58"/>
      <c r="C176" s="58"/>
      <c r="D176" s="58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59" customFormat="1" ht="12.75">
      <c r="A177" s="333"/>
      <c r="B177" s="58"/>
      <c r="C177" s="58"/>
      <c r="D177" s="58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59" customFormat="1" ht="12.75">
      <c r="A178" s="333"/>
      <c r="B178" s="58"/>
      <c r="C178" s="58"/>
      <c r="D178" s="58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59" customFormat="1" ht="12.75">
      <c r="A179" s="333"/>
      <c r="B179" s="58"/>
      <c r="C179" s="58"/>
      <c r="D179" s="58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59" customFormat="1" ht="12.75">
      <c r="A180" s="333"/>
      <c r="B180" s="58"/>
      <c r="C180" s="58"/>
      <c r="D180" s="58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59" customFormat="1" ht="12.75">
      <c r="A181" s="333"/>
      <c r="B181" s="58"/>
      <c r="C181" s="58"/>
      <c r="D181" s="58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59" customFormat="1" ht="12.75">
      <c r="A182" s="333"/>
      <c r="B182" s="58"/>
      <c r="C182" s="58"/>
      <c r="D182" s="58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59" customFormat="1" ht="12.75">
      <c r="A183" s="333"/>
      <c r="B183" s="58"/>
      <c r="C183" s="58"/>
      <c r="D183" s="58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59" customFormat="1" ht="12.75">
      <c r="A184" s="333"/>
      <c r="B184" s="58"/>
      <c r="C184" s="58"/>
      <c r="D184" s="58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</sheetData>
  <sheetProtection selectLockedCells="1" selectUnlockedCells="1"/>
  <mergeCells count="142">
    <mergeCell ref="B57:F57"/>
    <mergeCell ref="J56:K57"/>
    <mergeCell ref="I5:I6"/>
    <mergeCell ref="J5:J6"/>
    <mergeCell ref="K5:K6"/>
    <mergeCell ref="A54:B54"/>
    <mergeCell ref="A55:K55"/>
    <mergeCell ref="B56:F56"/>
    <mergeCell ref="IK3:IN3"/>
    <mergeCell ref="IO3:IR3"/>
    <mergeCell ref="IS3:IV3"/>
    <mergeCell ref="A5:A6"/>
    <mergeCell ref="B5:B6"/>
    <mergeCell ref="C5:C6"/>
    <mergeCell ref="D5:D6"/>
    <mergeCell ref="E5:E6"/>
    <mergeCell ref="F5:F6"/>
    <mergeCell ref="H5:H6"/>
    <mergeCell ref="HM3:HP3"/>
    <mergeCell ref="HQ3:HT3"/>
    <mergeCell ref="HU3:HX3"/>
    <mergeCell ref="HY3:IB3"/>
    <mergeCell ref="IC3:IF3"/>
    <mergeCell ref="IG3:IJ3"/>
    <mergeCell ref="GO3:GR3"/>
    <mergeCell ref="GS3:GV3"/>
    <mergeCell ref="GW3:GZ3"/>
    <mergeCell ref="HA3:HD3"/>
    <mergeCell ref="HE3:HH3"/>
    <mergeCell ref="HI3:HL3"/>
    <mergeCell ref="FQ3:FT3"/>
    <mergeCell ref="FU3:FX3"/>
    <mergeCell ref="FY3:GB3"/>
    <mergeCell ref="GC3:GF3"/>
    <mergeCell ref="GG3:GJ3"/>
    <mergeCell ref="GK3:GN3"/>
    <mergeCell ref="ES3:EV3"/>
    <mergeCell ref="EW3:EZ3"/>
    <mergeCell ref="FA3:FD3"/>
    <mergeCell ref="FE3:FH3"/>
    <mergeCell ref="FI3:FL3"/>
    <mergeCell ref="FM3:FP3"/>
    <mergeCell ref="DU3:DX3"/>
    <mergeCell ref="DY3:EB3"/>
    <mergeCell ref="EC3:EF3"/>
    <mergeCell ref="EG3:EJ3"/>
    <mergeCell ref="EK3:EN3"/>
    <mergeCell ref="EO3:ER3"/>
    <mergeCell ref="CW3:CZ3"/>
    <mergeCell ref="DA3:DD3"/>
    <mergeCell ref="DE3:DH3"/>
    <mergeCell ref="DI3:DL3"/>
    <mergeCell ref="DM3:DP3"/>
    <mergeCell ref="DQ3:DT3"/>
    <mergeCell ref="BY3:CB3"/>
    <mergeCell ref="CC3:CF3"/>
    <mergeCell ref="CG3:CJ3"/>
    <mergeCell ref="CK3:CN3"/>
    <mergeCell ref="CO3:CR3"/>
    <mergeCell ref="CS3:CV3"/>
    <mergeCell ref="BA3:BD3"/>
    <mergeCell ref="BE3:BH3"/>
    <mergeCell ref="BI3:BL3"/>
    <mergeCell ref="BM3:BP3"/>
    <mergeCell ref="BQ3:BT3"/>
    <mergeCell ref="BU3:BX3"/>
    <mergeCell ref="AC3:AF3"/>
    <mergeCell ref="AG3:AJ3"/>
    <mergeCell ref="AK3:AN3"/>
    <mergeCell ref="AO3:AR3"/>
    <mergeCell ref="AS3:AV3"/>
    <mergeCell ref="AW3:AZ3"/>
    <mergeCell ref="IG2:IJ2"/>
    <mergeCell ref="IK2:IN2"/>
    <mergeCell ref="IO2:IR2"/>
    <mergeCell ref="IS2:IV2"/>
    <mergeCell ref="E3:H3"/>
    <mergeCell ref="I3:L3"/>
    <mergeCell ref="M3:P3"/>
    <mergeCell ref="Q3:T3"/>
    <mergeCell ref="U3:X3"/>
    <mergeCell ref="Y3:AB3"/>
    <mergeCell ref="HI2:HL2"/>
    <mergeCell ref="HM2:HP2"/>
    <mergeCell ref="HQ2:HT2"/>
    <mergeCell ref="HU2:HX2"/>
    <mergeCell ref="HY2:IB2"/>
    <mergeCell ref="IC2:IF2"/>
    <mergeCell ref="GK2:GN2"/>
    <mergeCell ref="GO2:GR2"/>
    <mergeCell ref="GS2:GV2"/>
    <mergeCell ref="GW2:GZ2"/>
    <mergeCell ref="HA2:HD2"/>
    <mergeCell ref="HE2:HH2"/>
    <mergeCell ref="FM2:FP2"/>
    <mergeCell ref="FQ2:FT2"/>
    <mergeCell ref="FU2:FX2"/>
    <mergeCell ref="FY2:GB2"/>
    <mergeCell ref="GC2:GF2"/>
    <mergeCell ref="GG2:GJ2"/>
    <mergeCell ref="EO2:ER2"/>
    <mergeCell ref="ES2:EV2"/>
    <mergeCell ref="EW2:EZ2"/>
    <mergeCell ref="FA2:FD2"/>
    <mergeCell ref="FE2:FH2"/>
    <mergeCell ref="FI2:FL2"/>
    <mergeCell ref="DQ2:DT2"/>
    <mergeCell ref="DU2:DX2"/>
    <mergeCell ref="DY2:EB2"/>
    <mergeCell ref="EC2:EF2"/>
    <mergeCell ref="EG2:EJ2"/>
    <mergeCell ref="EK2:EN2"/>
    <mergeCell ref="CS2:CV2"/>
    <mergeCell ref="CW2:CZ2"/>
    <mergeCell ref="DA2:DD2"/>
    <mergeCell ref="DE2:DH2"/>
    <mergeCell ref="DI2:DL2"/>
    <mergeCell ref="DM2:DP2"/>
    <mergeCell ref="BU2:BX2"/>
    <mergeCell ref="BY2:CB2"/>
    <mergeCell ref="CC2:CF2"/>
    <mergeCell ref="CG2:CJ2"/>
    <mergeCell ref="CK2:CN2"/>
    <mergeCell ref="CO2:CR2"/>
    <mergeCell ref="AW2:AZ2"/>
    <mergeCell ref="BA2:BD2"/>
    <mergeCell ref="BE2:BH2"/>
    <mergeCell ref="BI2:BL2"/>
    <mergeCell ref="BM2:BP2"/>
    <mergeCell ref="BQ2:BT2"/>
    <mergeCell ref="Y2:AB2"/>
    <mergeCell ref="AC2:AF2"/>
    <mergeCell ref="AG2:AJ2"/>
    <mergeCell ref="AK2:AN2"/>
    <mergeCell ref="AO2:AR2"/>
    <mergeCell ref="AS2:AV2"/>
    <mergeCell ref="A1:K1"/>
    <mergeCell ref="E2:H2"/>
    <mergeCell ref="I2:L2"/>
    <mergeCell ref="M2:P2"/>
    <mergeCell ref="Q2:T2"/>
    <mergeCell ref="U2:X2"/>
  </mergeCells>
  <printOptions horizontalCentered="1" verticalCentered="1"/>
  <pageMargins left="0.5905511811023623" right="0.5905511811023623" top="0.3937007874015748" bottom="0.3937007874015748" header="0.5118110236220472" footer="0.5118110236220472"/>
  <pageSetup horizontalDpi="300" verticalDpi="300" orientation="landscape" paperSize="9" scale="71" r:id="rId3"/>
  <headerFooter alignWithMargins="0">
    <oddHeader>&amp;R4. sz. melléklet</oddHeader>
    <oddFooter>&amp;L&amp;D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N160"/>
  <sheetViews>
    <sheetView view="pageBreakPreview" zoomScaleSheetLayoutView="100" zoomScalePageLayoutView="0" workbookViewId="0" topLeftCell="A9">
      <selection activeCell="H24" sqref="H24"/>
    </sheetView>
  </sheetViews>
  <sheetFormatPr defaultColWidth="9.140625" defaultRowHeight="15"/>
  <cols>
    <col min="1" max="1" width="58.8515625" style="2" customWidth="1"/>
    <col min="2" max="4" width="0" style="2" hidden="1" customWidth="1"/>
    <col min="5" max="8" width="18.7109375" style="2" customWidth="1"/>
    <col min="9" max="9" width="7.140625" style="2" customWidth="1"/>
    <col min="10" max="10" width="57.57421875" style="2" customWidth="1"/>
    <col min="11" max="11" width="19.00390625" style="2" customWidth="1"/>
    <col min="12" max="12" width="17.57421875" style="2" customWidth="1"/>
    <col min="13" max="13" width="16.28125" style="2" customWidth="1"/>
    <col min="14" max="14" width="18.140625" style="2" customWidth="1"/>
    <col min="15" max="16384" width="9.140625" style="2" customWidth="1"/>
  </cols>
  <sheetData>
    <row r="1" ht="12.75">
      <c r="K1" s="444"/>
    </row>
    <row r="2" ht="12.75">
      <c r="K2" s="444"/>
    </row>
    <row r="3" spans="5:8" s="445" customFormat="1" ht="12">
      <c r="E3" s="446"/>
      <c r="F3" s="446"/>
      <c r="G3" s="446"/>
      <c r="H3" s="446"/>
    </row>
    <row r="4" spans="1:11" s="447" customFormat="1" ht="33" customHeight="1">
      <c r="A4" s="604" t="s">
        <v>419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</row>
    <row r="5" spans="2:8" s="445" customFormat="1" ht="33" customHeight="1" thickBot="1">
      <c r="B5" s="445" t="s">
        <v>185</v>
      </c>
      <c r="E5" s="447"/>
      <c r="F5" s="447"/>
      <c r="G5" s="447"/>
      <c r="H5" s="447"/>
    </row>
    <row r="6" spans="1:14" s="451" customFormat="1" ht="46.5" customHeight="1">
      <c r="A6" s="448" t="s">
        <v>385</v>
      </c>
      <c r="B6" s="605" t="s">
        <v>59</v>
      </c>
      <c r="C6" s="605"/>
      <c r="D6" s="605"/>
      <c r="E6" s="449" t="s">
        <v>386</v>
      </c>
      <c r="F6" s="449" t="s">
        <v>416</v>
      </c>
      <c r="G6" s="449" t="s">
        <v>417</v>
      </c>
      <c r="H6" s="449" t="s">
        <v>418</v>
      </c>
      <c r="I6" s="450"/>
      <c r="J6" s="448" t="s">
        <v>387</v>
      </c>
      <c r="K6" s="449" t="s">
        <v>386</v>
      </c>
      <c r="L6" s="449" t="s">
        <v>416</v>
      </c>
      <c r="M6" s="449" t="s">
        <v>417</v>
      </c>
      <c r="N6" s="449" t="s">
        <v>418</v>
      </c>
    </row>
    <row r="7" spans="1:14" s="445" customFormat="1" ht="14.25">
      <c r="A7" s="606" t="s">
        <v>388</v>
      </c>
      <c r="B7" s="607"/>
      <c r="C7" s="607"/>
      <c r="D7" s="607"/>
      <c r="E7" s="608"/>
      <c r="F7" s="510"/>
      <c r="G7" s="510"/>
      <c r="H7" s="510"/>
      <c r="I7" s="454"/>
      <c r="J7" s="452" t="s">
        <v>389</v>
      </c>
      <c r="K7" s="453"/>
      <c r="L7" s="453"/>
      <c r="M7" s="453"/>
      <c r="N7" s="453"/>
    </row>
    <row r="8" spans="1:14" s="458" customFormat="1" ht="14.25">
      <c r="A8" s="455" t="str">
        <f>'[6]2011_ktgv_részletező_tábla'!B6</f>
        <v>Intézményi működési bevételek</v>
      </c>
      <c r="B8" s="455">
        <f>'[6]2011_ktgv_részletező_tábla'!C6</f>
        <v>6286</v>
      </c>
      <c r="C8" s="455">
        <f>'[6]2011_ktgv_részletező_tábla'!D6</f>
        <v>0</v>
      </c>
      <c r="D8" s="455">
        <f>'[6]2011_ktgv_részletező_tábla'!E6</f>
        <v>0</v>
      </c>
      <c r="E8" s="456">
        <v>36466</v>
      </c>
      <c r="F8" s="456">
        <v>37924</v>
      </c>
      <c r="G8" s="456">
        <v>23652</v>
      </c>
      <c r="H8" s="511">
        <f>G8/F8</f>
        <v>0.6236683894103997</v>
      </c>
      <c r="I8" s="457"/>
      <c r="J8" s="455" t="str">
        <f>'[6]2011_ktgv_részletező_tábla'!B56</f>
        <v>1.Személyi juttatások</v>
      </c>
      <c r="K8" s="456">
        <v>107914</v>
      </c>
      <c r="L8" s="456">
        <v>110060</v>
      </c>
      <c r="M8" s="456">
        <v>50641</v>
      </c>
      <c r="N8" s="511">
        <f>M8/L8</f>
        <v>0.46012175177176085</v>
      </c>
    </row>
    <row r="9" spans="1:14" s="458" customFormat="1" ht="14.25">
      <c r="A9" s="455" t="str">
        <f>'[6]2011_ktgv_részletező_tábla'!B13</f>
        <v>Önkormányzatok sajátos működési bevételei</v>
      </c>
      <c r="B9" s="455">
        <f>'[6]2011_ktgv_részletező_tábla'!C13</f>
        <v>0</v>
      </c>
      <c r="C9" s="455">
        <f>'[6]2011_ktgv_részletező_tábla'!D13</f>
        <v>0</v>
      </c>
      <c r="D9" s="455">
        <f>'[6]2011_ktgv_részletező_tábla'!E13</f>
        <v>0</v>
      </c>
      <c r="E9" s="456">
        <f>'[6]2011_ktgv_részletező_tábla'!BG13</f>
        <v>144891</v>
      </c>
      <c r="F9" s="456">
        <v>144891</v>
      </c>
      <c r="G9" s="456">
        <f>50553+1698+11358+22068</f>
        <v>85677</v>
      </c>
      <c r="H9" s="511">
        <f aca="true" t="shared" si="0" ref="H9:H19">G9/F9</f>
        <v>0.5913203718657474</v>
      </c>
      <c r="I9" s="457"/>
      <c r="J9" s="455" t="str">
        <f>'[6]2011_ktgv_részletező_tábla'!B57</f>
        <v>2.Munkaadót terhelő járulékok</v>
      </c>
      <c r="K9" s="456">
        <v>29968</v>
      </c>
      <c r="L9" s="456">
        <v>30419</v>
      </c>
      <c r="M9" s="456">
        <v>13892</v>
      </c>
      <c r="N9" s="511">
        <f aca="true" t="shared" si="1" ref="N9:N18">M9/L9</f>
        <v>0.45668825405174396</v>
      </c>
    </row>
    <row r="10" spans="1:14" s="458" customFormat="1" ht="14.25">
      <c r="A10" s="455" t="str">
        <f>'[6]2011_ktgv_részletező_tábla'!B22</f>
        <v>Központi költségvetésből kapott költségvetési támogatás</v>
      </c>
      <c r="B10" s="455">
        <f>'[6]2011_ktgv_részletező_tábla'!C22</f>
        <v>0</v>
      </c>
      <c r="C10" s="455">
        <f>'[6]2011_ktgv_részletező_tábla'!D22</f>
        <v>0</v>
      </c>
      <c r="D10" s="455">
        <f>'[6]2011_ktgv_részletező_tábla'!E22</f>
        <v>0</v>
      </c>
      <c r="E10" s="456">
        <v>74995</v>
      </c>
      <c r="F10" s="456">
        <v>75618</v>
      </c>
      <c r="G10" s="456">
        <f>39296</f>
        <v>39296</v>
      </c>
      <c r="H10" s="511">
        <f t="shared" si="0"/>
        <v>0.519664630114523</v>
      </c>
      <c r="I10" s="457"/>
      <c r="J10" s="459" t="str">
        <f>'[6]2011_ktgv_részletező_tábla'!B58</f>
        <v>3.Dologi kiadások</v>
      </c>
      <c r="K10" s="460">
        <v>86853</v>
      </c>
      <c r="L10" s="460">
        <v>118860</v>
      </c>
      <c r="M10" s="460">
        <v>71477</v>
      </c>
      <c r="N10" s="511">
        <f t="shared" si="1"/>
        <v>0.6013545347467609</v>
      </c>
    </row>
    <row r="11" spans="1:14" s="458" customFormat="1" ht="14.25">
      <c r="A11" s="455" t="str">
        <f>'[6]2011_ktgv_részletező_tábla'!B26</f>
        <v>Működési célú támogatás értékű bevételek</v>
      </c>
      <c r="B11" s="455">
        <f>'[6]2011_ktgv_részletező_tábla'!C26</f>
        <v>0</v>
      </c>
      <c r="C11" s="455">
        <f>'[6]2011_ktgv_részletező_tábla'!D26</f>
        <v>0</v>
      </c>
      <c r="D11" s="455">
        <f>'[6]2011_ktgv_részletező_tábla'!E26</f>
        <v>0</v>
      </c>
      <c r="E11" s="456">
        <f>'[6]2011_ktgv_részletező_tábla'!BG26</f>
        <v>13667</v>
      </c>
      <c r="F11" s="456">
        <v>13667</v>
      </c>
      <c r="G11" s="456">
        <v>4624</v>
      </c>
      <c r="H11" s="511">
        <f t="shared" si="0"/>
        <v>0.33833321138508815</v>
      </c>
      <c r="I11" s="457"/>
      <c r="J11" s="461" t="s">
        <v>390</v>
      </c>
      <c r="K11" s="462">
        <f>-('[7]2011_elemi_adatok'!$F$203+'[7]2011_elemi_adatok'!$F$204+'[7]2011_elemi_adatok'!$F$205)</f>
        <v>-7060</v>
      </c>
      <c r="L11" s="462">
        <f>-('[7]2011_elemi_adatok'!$F$203+'[7]2011_elemi_adatok'!$F$204+'[7]2011_elemi_adatok'!$F$205)</f>
        <v>-7060</v>
      </c>
      <c r="M11" s="462">
        <v>-3180</v>
      </c>
      <c r="N11" s="511">
        <f t="shared" si="1"/>
        <v>0.45042492917847027</v>
      </c>
    </row>
    <row r="12" spans="1:14" s="458" customFormat="1" ht="14.25">
      <c r="A12" s="455" t="str">
        <f>'[6]2011_ktgv_részletező_tábla'!B31</f>
        <v>Államháztartásonkívülről működési célra átvett pénzeszköz</v>
      </c>
      <c r="B12" s="455"/>
      <c r="C12" s="455"/>
      <c r="D12" s="455"/>
      <c r="E12" s="456">
        <f>'[6]2011_ktgv_részletező_tábla'!BG31</f>
        <v>474</v>
      </c>
      <c r="F12" s="456">
        <v>474</v>
      </c>
      <c r="G12" s="456">
        <v>237</v>
      </c>
      <c r="H12" s="511">
        <f t="shared" si="0"/>
        <v>0.5</v>
      </c>
      <c r="I12" s="457"/>
      <c r="J12" s="461" t="s">
        <v>391</v>
      </c>
      <c r="K12" s="462">
        <v>-1000</v>
      </c>
      <c r="L12" s="462">
        <f>-('[7]2011_elemi_adatok'!$H$218)-27504</f>
        <v>-28504</v>
      </c>
      <c r="M12" s="462">
        <v>-25969</v>
      </c>
      <c r="N12" s="511">
        <f t="shared" si="1"/>
        <v>0.911065113668257</v>
      </c>
    </row>
    <row r="13" spans="1:14" s="458" customFormat="1" ht="14.25">
      <c r="A13" s="455" t="str">
        <f>'[6]2011_ktgv_részletező_tábla'!B33</f>
        <v>Előző évi maradvány átvétele központi költségvetésből</v>
      </c>
      <c r="B13" s="455">
        <f>'[6]2011_ktgv_részletező_tábla'!C33</f>
        <v>0</v>
      </c>
      <c r="C13" s="455">
        <f>'[6]2011_ktgv_részletező_tábla'!D33</f>
        <v>0</v>
      </c>
      <c r="D13" s="455">
        <f>'[6]2011_ktgv_részletező_tábla'!E33</f>
        <v>0</v>
      </c>
      <c r="E13" s="456">
        <f>'[6]2011_ktgv_részletező_tábla'!BG33</f>
        <v>2282</v>
      </c>
      <c r="F13" s="456">
        <v>2282</v>
      </c>
      <c r="G13" s="456">
        <v>2282</v>
      </c>
      <c r="H13" s="511">
        <f t="shared" si="0"/>
        <v>1</v>
      </c>
      <c r="I13" s="457"/>
      <c r="J13" s="463" t="str">
        <f>'[6]2011_ktgv_részletező_tábla'!B60</f>
        <v>4.Társadalom és szociálpolitikai kiadások</v>
      </c>
      <c r="K13" s="464">
        <v>32507</v>
      </c>
      <c r="L13" s="464">
        <v>32580</v>
      </c>
      <c r="M13" s="464">
        <v>14514</v>
      </c>
      <c r="N13" s="511">
        <f t="shared" si="1"/>
        <v>0.44548802946593</v>
      </c>
    </row>
    <row r="14" spans="1:14" s="458" customFormat="1" ht="14.25">
      <c r="A14" s="455" t="str">
        <f>'[6]2011_ktgv_részletező_tábla'!B35</f>
        <v>Vállalkozási bevétel</v>
      </c>
      <c r="B14" s="465"/>
      <c r="C14" s="465"/>
      <c r="D14" s="465"/>
      <c r="E14" s="456">
        <f>'[6]2011_ktgv_részletező_tábla'!BG35</f>
        <v>0</v>
      </c>
      <c r="F14" s="456">
        <v>0</v>
      </c>
      <c r="G14" s="456">
        <v>0</v>
      </c>
      <c r="H14" s="511"/>
      <c r="I14" s="457"/>
      <c r="J14" s="459" t="str">
        <f>'[6]2011_ktgv_részletező_tábla'!B61</f>
        <v>5.Egyéb működési célú kiadások (pénzeszköz átadások)</v>
      </c>
      <c r="K14" s="460">
        <v>12989</v>
      </c>
      <c r="L14" s="460">
        <v>13521</v>
      </c>
      <c r="M14" s="460">
        <v>1552</v>
      </c>
      <c r="N14" s="511">
        <f t="shared" si="1"/>
        <v>0.1147844094371718</v>
      </c>
    </row>
    <row r="15" spans="1:14" s="445" customFormat="1" ht="14.25">
      <c r="A15" s="517" t="s">
        <v>392</v>
      </c>
      <c r="B15" s="466"/>
      <c r="C15" s="466"/>
      <c r="D15" s="466" t="s">
        <v>393</v>
      </c>
      <c r="E15" s="515">
        <f>SUM(E8:E13)</f>
        <v>272775</v>
      </c>
      <c r="F15" s="515">
        <f>SUM(F8:F13)</f>
        <v>274856</v>
      </c>
      <c r="G15" s="515">
        <f>SUM(G8:G14)</f>
        <v>155768</v>
      </c>
      <c r="H15" s="512">
        <f t="shared" si="0"/>
        <v>0.56672584917193</v>
      </c>
      <c r="I15" s="454"/>
      <c r="J15" s="467" t="s">
        <v>394</v>
      </c>
      <c r="K15" s="468">
        <f>SUM(K8:K14)</f>
        <v>262171</v>
      </c>
      <c r="L15" s="468">
        <f>SUM(L8:L14)</f>
        <v>269876</v>
      </c>
      <c r="M15" s="468">
        <f>SUM(M8:M14)</f>
        <v>122927</v>
      </c>
      <c r="N15" s="512">
        <f t="shared" si="1"/>
        <v>0.4554943751945338</v>
      </c>
    </row>
    <row r="16" spans="1:14" s="445" customFormat="1" ht="15" customHeight="1">
      <c r="A16" s="455" t="str">
        <f>'[6]2011_ktgv_részletező_tábla'!B80</f>
        <v>Működési célú hitelfelvétel </v>
      </c>
      <c r="B16" s="469"/>
      <c r="C16" s="469"/>
      <c r="D16" s="469"/>
      <c r="E16" s="456">
        <f>'[6]2011_ktgv_részletező_tábla'!BG80</f>
        <v>0</v>
      </c>
      <c r="F16" s="456">
        <v>0</v>
      </c>
      <c r="G16" s="456">
        <v>0</v>
      </c>
      <c r="H16" s="511"/>
      <c r="I16" s="454"/>
      <c r="J16" s="470" t="str">
        <f>'[6]2011_ktgv_részletező_tábla'!B86</f>
        <v>Működési célú hitel visszafizetés</v>
      </c>
      <c r="K16" s="471">
        <f>'[6]2011_ktgv_részletező_tábla'!BG86</f>
        <v>0</v>
      </c>
      <c r="L16" s="471">
        <f>'[6]2011_ktgv_részletező_tábla'!BH86</f>
        <v>0</v>
      </c>
      <c r="M16" s="471"/>
      <c r="N16" s="511"/>
    </row>
    <row r="17" spans="1:14" s="472" customFormat="1" ht="14.25" customHeight="1">
      <c r="A17" s="455" t="str">
        <f>'[6]2011_ktgv_részletező_tábla'!B75</f>
        <v>Működési célú pénzmaradvány</v>
      </c>
      <c r="B17" s="469"/>
      <c r="C17" s="469"/>
      <c r="D17" s="469"/>
      <c r="E17" s="456">
        <v>55886</v>
      </c>
      <c r="F17" s="456">
        <v>66807</v>
      </c>
      <c r="G17" s="456">
        <v>66808</v>
      </c>
      <c r="H17" s="511">
        <f t="shared" si="0"/>
        <v>1.0000149684913258</v>
      </c>
      <c r="I17" s="457"/>
      <c r="J17" s="470" t="str">
        <f>'[6]2011_ktgv_részletező_tábla'!B66</f>
        <v>Pénzforgalom nélküli kiadások /tartalékok/</v>
      </c>
      <c r="K17" s="471">
        <v>22790</v>
      </c>
      <c r="L17" s="471">
        <v>19394</v>
      </c>
      <c r="M17" s="471"/>
      <c r="N17" s="511">
        <f t="shared" si="1"/>
        <v>0</v>
      </c>
    </row>
    <row r="18" spans="1:14" s="472" customFormat="1" ht="26.25" thickBot="1">
      <c r="A18" s="518" t="s">
        <v>395</v>
      </c>
      <c r="B18" s="474"/>
      <c r="C18" s="474"/>
      <c r="D18" s="474" t="s">
        <v>393</v>
      </c>
      <c r="E18" s="516">
        <f>SUM(E17:E17)</f>
        <v>55886</v>
      </c>
      <c r="F18" s="516">
        <f>SUM(F17:F17)</f>
        <v>66807</v>
      </c>
      <c r="G18" s="516">
        <f>SUM(G16:G17)</f>
        <v>66808</v>
      </c>
      <c r="H18" s="512">
        <f t="shared" si="0"/>
        <v>1.0000149684913258</v>
      </c>
      <c r="I18" s="457"/>
      <c r="J18" s="473" t="s">
        <v>396</v>
      </c>
      <c r="K18" s="468">
        <f>SUM(K16:K17)</f>
        <v>22790</v>
      </c>
      <c r="L18" s="468">
        <f>SUM(L16:L17)</f>
        <v>19394</v>
      </c>
      <c r="M18" s="468">
        <f>SUM(M16:M17)</f>
        <v>0</v>
      </c>
      <c r="N18" s="512">
        <f t="shared" si="1"/>
        <v>0</v>
      </c>
    </row>
    <row r="19" spans="1:14" s="472" customFormat="1" ht="15" thickBot="1">
      <c r="A19" s="519" t="s">
        <v>397</v>
      </c>
      <c r="B19" s="476"/>
      <c r="C19" s="476"/>
      <c r="D19" s="477"/>
      <c r="E19" s="514">
        <f>E15+E18</f>
        <v>328661</v>
      </c>
      <c r="F19" s="514">
        <f>F15+F18</f>
        <v>341663</v>
      </c>
      <c r="G19" s="514">
        <f>G15+G18</f>
        <v>222576</v>
      </c>
      <c r="H19" s="513">
        <f t="shared" si="0"/>
        <v>0.6514489423788938</v>
      </c>
      <c r="I19" s="457"/>
      <c r="J19" s="475" t="s">
        <v>398</v>
      </c>
      <c r="K19" s="478">
        <f>K15+K18</f>
        <v>284961</v>
      </c>
      <c r="L19" s="478">
        <f>L15+L18</f>
        <v>289270</v>
      </c>
      <c r="M19" s="478">
        <f>M15+M18</f>
        <v>122927</v>
      </c>
      <c r="N19" s="536">
        <f>M19/L19</f>
        <v>0.4249559235316486</v>
      </c>
    </row>
    <row r="20" spans="1:9" s="472" customFormat="1" ht="15" thickBot="1">
      <c r="A20" s="479"/>
      <c r="B20" s="520"/>
      <c r="C20" s="520"/>
      <c r="D20" s="521"/>
      <c r="E20" s="480"/>
      <c r="F20" s="480"/>
      <c r="G20" s="480"/>
      <c r="H20" s="480"/>
      <c r="I20" s="457"/>
    </row>
    <row r="21" spans="1:14" s="445" customFormat="1" ht="14.25">
      <c r="A21" s="609" t="s">
        <v>79</v>
      </c>
      <c r="B21" s="609"/>
      <c r="C21" s="609"/>
      <c r="D21" s="609"/>
      <c r="E21" s="609"/>
      <c r="F21" s="522"/>
      <c r="G21" s="522"/>
      <c r="H21" s="522"/>
      <c r="I21" s="454"/>
      <c r="J21" s="481" t="s">
        <v>399</v>
      </c>
      <c r="K21" s="482"/>
      <c r="L21" s="482"/>
      <c r="M21" s="482"/>
      <c r="N21" s="482"/>
    </row>
    <row r="22" spans="1:14" s="484" customFormat="1" ht="14.25">
      <c r="A22" s="463" t="str">
        <f>'[6]2011_ktgv_részletező_tábla'!B38</f>
        <v>Tárgyi eszközök és immat.javak értékesítése</v>
      </c>
      <c r="B22" s="463">
        <f>'[6]2011_ktgv_részletező_tábla'!C38</f>
        <v>0</v>
      </c>
      <c r="C22" s="463">
        <f>'[6]2011_ktgv_részletező_tábla'!D38</f>
        <v>0</v>
      </c>
      <c r="D22" s="463">
        <f>'[6]2011_ktgv_részletező_tábla'!E38</f>
        <v>0</v>
      </c>
      <c r="E22" s="464">
        <f>'[6]2011_ktgv_részletező_tábla'!BG38</f>
        <v>16670</v>
      </c>
      <c r="F22" s="528">
        <v>16670</v>
      </c>
      <c r="G22" s="537">
        <v>70</v>
      </c>
      <c r="H22" s="533">
        <f aca="true" t="shared" si="2" ref="H22:H30">G22/F22</f>
        <v>0.004199160167966407</v>
      </c>
      <c r="I22" s="454"/>
      <c r="J22" s="483" t="str">
        <f>'[6]2011_ktgv_részletező_tábla'!B63</f>
        <v>1.Beruházások</v>
      </c>
      <c r="K22" s="460">
        <v>124773</v>
      </c>
      <c r="L22" s="460">
        <v>131606</v>
      </c>
      <c r="M22" s="460">
        <v>117042</v>
      </c>
      <c r="N22" s="511">
        <f aca="true" t="shared" si="3" ref="N22:N27">M22/L22</f>
        <v>0.8893363524459371</v>
      </c>
    </row>
    <row r="23" spans="1:14" s="484" customFormat="1" ht="14.25">
      <c r="A23" s="455" t="str">
        <f>'[6]2011_ktgv_részletező_tábla'!B40</f>
        <v>Fejlesztési kiadásokhoz kapcsolódó ÁFA bevételek</v>
      </c>
      <c r="B23" s="485"/>
      <c r="C23" s="485"/>
      <c r="D23" s="485" t="s">
        <v>400</v>
      </c>
      <c r="E23" s="456">
        <v>14760</v>
      </c>
      <c r="F23" s="529">
        <v>39628</v>
      </c>
      <c r="G23" s="537">
        <v>38538</v>
      </c>
      <c r="H23" s="534">
        <f t="shared" si="2"/>
        <v>0.972494196023014</v>
      </c>
      <c r="I23" s="454"/>
      <c r="J23" s="483" t="str">
        <f>'[6]2011_ktgv_részletező_tábla'!B64</f>
        <v>2.Felújítások</v>
      </c>
      <c r="K23" s="460">
        <v>7221</v>
      </c>
      <c r="L23" s="460">
        <v>9942</v>
      </c>
      <c r="M23" s="460">
        <v>6352</v>
      </c>
      <c r="N23" s="511">
        <f t="shared" si="3"/>
        <v>0.6389056527861597</v>
      </c>
    </row>
    <row r="24" spans="1:14" s="484" customFormat="1" ht="14.25">
      <c r="A24" s="455" t="str">
        <f>'[6]2011_ktgv_részletező_tábla'!B42</f>
        <v>Felhalmozási  célú támogatás értékű bevételek (vis maior)</v>
      </c>
      <c r="B24" s="486" t="s">
        <v>401</v>
      </c>
      <c r="C24" s="486"/>
      <c r="D24" s="486" t="s">
        <v>402</v>
      </c>
      <c r="E24" s="456">
        <v>0</v>
      </c>
      <c r="F24" s="529">
        <v>3497</v>
      </c>
      <c r="G24" s="537">
        <v>3497</v>
      </c>
      <c r="H24" s="534">
        <f t="shared" si="2"/>
        <v>1</v>
      </c>
      <c r="I24" s="454"/>
      <c r="J24" s="487" t="str">
        <f>'[6]2011_ktgv_részletező_tábla'!B65</f>
        <v>3.Egyéb felhalmozási célú kiadások (pénzeszköz átadások)</v>
      </c>
      <c r="K24" s="460">
        <f>'[6]2011_ktgv_részletező_tábla'!BG65</f>
        <v>5161</v>
      </c>
      <c r="L24" s="460">
        <v>5161</v>
      </c>
      <c r="M24" s="460">
        <v>319</v>
      </c>
      <c r="N24" s="511">
        <f t="shared" si="3"/>
        <v>0.06180972679713234</v>
      </c>
    </row>
    <row r="25" spans="1:14" s="484" customFormat="1" ht="14.25">
      <c r="A25" s="455" t="str">
        <f>'[6]2011_ktgv_részletező_tábla'!B44</f>
        <v>Államháztartáson kívülről felhalmozási célra átvett pénzeszköz</v>
      </c>
      <c r="B25" s="486"/>
      <c r="C25" s="486"/>
      <c r="D25" s="486"/>
      <c r="E25" s="456">
        <f>'[6]2011_ktgv_részletező_tábla'!BG44</f>
        <v>4600</v>
      </c>
      <c r="F25" s="529">
        <v>4600</v>
      </c>
      <c r="G25" s="537">
        <v>2170</v>
      </c>
      <c r="H25" s="534">
        <f t="shared" si="2"/>
        <v>0.4717391304347826</v>
      </c>
      <c r="I25" s="454"/>
      <c r="J25" s="539" t="s">
        <v>403</v>
      </c>
      <c r="K25" s="516">
        <f>SUM(K22:K24)</f>
        <v>137155</v>
      </c>
      <c r="L25" s="516">
        <f>SUM(L22:L24)</f>
        <v>146709</v>
      </c>
      <c r="M25" s="516">
        <f>SUM(M22:M24)</f>
        <v>123713</v>
      </c>
      <c r="N25" s="512">
        <f t="shared" si="3"/>
        <v>0.8432543334083117</v>
      </c>
    </row>
    <row r="26" spans="1:14" s="484" customFormat="1" ht="14.25">
      <c r="A26" s="455" t="str">
        <f>'[6]2011_ktgv_részletező_tábla'!B48</f>
        <v>Felhalmozási célú kölcsönök megtérülése</v>
      </c>
      <c r="B26" s="486" t="s">
        <v>401</v>
      </c>
      <c r="C26" s="486"/>
      <c r="D26" s="486" t="s">
        <v>402</v>
      </c>
      <c r="E26" s="456">
        <f>'[6]2011_ktgv_részletező_tábla'!BG48</f>
        <v>20</v>
      </c>
      <c r="F26" s="529">
        <v>20</v>
      </c>
      <c r="G26" s="537">
        <v>28</v>
      </c>
      <c r="H26" s="534">
        <f t="shared" si="2"/>
        <v>1.4</v>
      </c>
      <c r="I26" s="454"/>
      <c r="J26" s="461" t="s">
        <v>404</v>
      </c>
      <c r="K26" s="462">
        <f>('[7]2011_elemi_adatok'!$F$203+'[7]2011_elemi_adatok'!$F$204+'[7]2011_elemi_adatok'!$F$205)</f>
        <v>7060</v>
      </c>
      <c r="L26" s="462">
        <f>('[7]2011_elemi_adatok'!$F$203+'[7]2011_elemi_adatok'!$F$204+'[7]2011_elemi_adatok'!$F$205)</f>
        <v>7060</v>
      </c>
      <c r="M26" s="462">
        <v>3180</v>
      </c>
      <c r="N26" s="511">
        <f t="shared" si="3"/>
        <v>0.45042492917847027</v>
      </c>
    </row>
    <row r="27" spans="1:14" s="445" customFormat="1" ht="14.25">
      <c r="A27" s="523" t="s">
        <v>405</v>
      </c>
      <c r="B27" s="524"/>
      <c r="C27" s="524"/>
      <c r="D27" s="524" t="s">
        <v>406</v>
      </c>
      <c r="E27" s="525">
        <f>SUM(E22:E26)</f>
        <v>36050</v>
      </c>
      <c r="F27" s="530">
        <f>SUM(F22:F26)</f>
        <v>64415</v>
      </c>
      <c r="G27" s="530">
        <f>SUM(G22:G26)</f>
        <v>44303</v>
      </c>
      <c r="H27" s="535">
        <f t="shared" si="2"/>
        <v>0.6877745866645968</v>
      </c>
      <c r="I27" s="454"/>
      <c r="J27" s="461" t="s">
        <v>407</v>
      </c>
      <c r="K27" s="462">
        <v>1000</v>
      </c>
      <c r="L27" s="462">
        <f>'[7]2011_elemi_adatok'!$H$218+27504</f>
        <v>28504</v>
      </c>
      <c r="M27" s="462">
        <v>25969</v>
      </c>
      <c r="N27" s="511">
        <f t="shared" si="3"/>
        <v>0.911065113668257</v>
      </c>
    </row>
    <row r="28" spans="1:14" s="472" customFormat="1" ht="14.25">
      <c r="A28" s="488" t="s">
        <v>408</v>
      </c>
      <c r="B28" s="469"/>
      <c r="C28" s="469"/>
      <c r="D28" s="469"/>
      <c r="E28" s="456">
        <f>'[6]2011_ktgv_részletező_tábla'!BG76</f>
        <v>31657</v>
      </c>
      <c r="F28" s="529">
        <v>31657</v>
      </c>
      <c r="G28" s="537">
        <v>31657</v>
      </c>
      <c r="H28" s="534">
        <f t="shared" si="2"/>
        <v>1</v>
      </c>
      <c r="I28" s="457"/>
      <c r="J28" s="610" t="str">
        <f>'[6]2011_ktgv_részletező_tábla'!B87</f>
        <v>Felhalmozási célú hitel visszafizetés</v>
      </c>
      <c r="K28" s="600">
        <f>'[6]2011_ktgv_részletező_tábla'!BG87</f>
        <v>8935</v>
      </c>
      <c r="L28" s="600">
        <v>8935</v>
      </c>
      <c r="M28" s="600">
        <v>4101</v>
      </c>
      <c r="N28" s="602">
        <f>M28/L28</f>
        <v>0.45898153329602687</v>
      </c>
    </row>
    <row r="29" spans="1:14" s="472" customFormat="1" ht="15" customHeight="1">
      <c r="A29" s="488" t="s">
        <v>409</v>
      </c>
      <c r="B29" s="469"/>
      <c r="C29" s="469"/>
      <c r="D29" s="469"/>
      <c r="E29" s="456">
        <f>'[6]2011_ktgv_részletező_tábla'!BG81+'[6]2011_ktgv_részletező_tábla'!BG82</f>
        <v>42743</v>
      </c>
      <c r="F29" s="529">
        <v>42743</v>
      </c>
      <c r="G29" s="537">
        <v>28743</v>
      </c>
      <c r="H29" s="534">
        <f t="shared" si="2"/>
        <v>0.6724609877640784</v>
      </c>
      <c r="I29" s="457"/>
      <c r="J29" s="611"/>
      <c r="K29" s="601"/>
      <c r="L29" s="601"/>
      <c r="M29" s="601"/>
      <c r="N29" s="603"/>
    </row>
    <row r="30" spans="1:14" s="472" customFormat="1" ht="39" thickBot="1">
      <c r="A30" s="518" t="s">
        <v>410</v>
      </c>
      <c r="B30" s="526"/>
      <c r="C30" s="526"/>
      <c r="D30" s="526" t="s">
        <v>393</v>
      </c>
      <c r="E30" s="516">
        <f>SUM(E28:E29)</f>
        <v>74400</v>
      </c>
      <c r="F30" s="531">
        <f>SUM(F28:F29)</f>
        <v>74400</v>
      </c>
      <c r="G30" s="531">
        <f>SUM(G28:G29)</f>
        <v>60400</v>
      </c>
      <c r="H30" s="535">
        <f t="shared" si="2"/>
        <v>0.8118279569892473</v>
      </c>
      <c r="I30" s="457"/>
      <c r="J30" s="518" t="s">
        <v>411</v>
      </c>
      <c r="K30" s="516">
        <f>SUM(K26:K29)</f>
        <v>16995</v>
      </c>
      <c r="L30" s="516">
        <f>SUM(L26:L29)</f>
        <v>44499</v>
      </c>
      <c r="M30" s="516">
        <f>SUM(M26:M29)</f>
        <v>33250</v>
      </c>
      <c r="N30" s="512">
        <f>M30/L30</f>
        <v>0.7472078024225264</v>
      </c>
    </row>
    <row r="31" spans="1:14" s="472" customFormat="1" ht="15.75" thickBot="1">
      <c r="A31" s="519" t="s">
        <v>412</v>
      </c>
      <c r="B31" s="527"/>
      <c r="C31" s="527"/>
      <c r="D31" s="527"/>
      <c r="E31" s="514">
        <f>E27+E30</f>
        <v>110450</v>
      </c>
      <c r="F31" s="532">
        <f>F27+F30</f>
        <v>138815</v>
      </c>
      <c r="G31" s="532">
        <f>G27+G30</f>
        <v>104703</v>
      </c>
      <c r="H31" s="536">
        <f>G31/F31</f>
        <v>0.754262867845694</v>
      </c>
      <c r="I31" s="457"/>
      <c r="J31" s="475" t="s">
        <v>413</v>
      </c>
      <c r="K31" s="478">
        <f>K25+K30</f>
        <v>154150</v>
      </c>
      <c r="L31" s="478">
        <f>L25+L30</f>
        <v>191208</v>
      </c>
      <c r="M31" s="478">
        <f>M25+M30</f>
        <v>156963</v>
      </c>
      <c r="N31" s="536">
        <f>M31/L31</f>
        <v>0.8209018451110832</v>
      </c>
    </row>
    <row r="32" spans="1:14" s="472" customFormat="1" ht="15">
      <c r="A32" s="490"/>
      <c r="B32" s="491"/>
      <c r="C32" s="491"/>
      <c r="D32" s="491"/>
      <c r="E32" s="480"/>
      <c r="F32" s="480"/>
      <c r="G32" s="480"/>
      <c r="H32" s="480"/>
      <c r="I32" s="457"/>
      <c r="J32" s="490"/>
      <c r="K32" s="491"/>
      <c r="L32" s="491"/>
      <c r="M32" s="491"/>
      <c r="N32" s="491"/>
    </row>
    <row r="33" spans="1:14" s="445" customFormat="1" ht="34.5" customHeight="1">
      <c r="A33" s="492" t="s">
        <v>414</v>
      </c>
      <c r="B33" s="493"/>
      <c r="C33" s="493"/>
      <c r="D33" s="493"/>
      <c r="E33" s="489">
        <f>E19+E31</f>
        <v>439111</v>
      </c>
      <c r="F33" s="489">
        <f>F19+F31</f>
        <v>480478</v>
      </c>
      <c r="G33" s="489">
        <f>G19+G31</f>
        <v>327279</v>
      </c>
      <c r="H33" s="538">
        <f>G33/F33</f>
        <v>0.681152935202028</v>
      </c>
      <c r="I33" s="454"/>
      <c r="J33" s="492" t="s">
        <v>415</v>
      </c>
      <c r="K33" s="489">
        <f>K31+K19</f>
        <v>439111</v>
      </c>
      <c r="L33" s="489">
        <f>L31+L19</f>
        <v>480478</v>
      </c>
      <c r="M33" s="489">
        <f>M31+M19</f>
        <v>279890</v>
      </c>
      <c r="N33" s="538">
        <f>M33/L33</f>
        <v>0.5825240697805102</v>
      </c>
    </row>
    <row r="34" spans="9:11" s="445" customFormat="1" ht="14.25">
      <c r="I34" s="454"/>
      <c r="J34" s="2"/>
      <c r="K34" s="58"/>
    </row>
    <row r="35" spans="1:11" s="495" customFormat="1" ht="22.5" customHeight="1">
      <c r="A35" s="598"/>
      <c r="B35" s="598"/>
      <c r="C35" s="598"/>
      <c r="D35" s="598"/>
      <c r="E35" s="598"/>
      <c r="F35" s="494"/>
      <c r="G35" s="494"/>
      <c r="H35" s="494"/>
      <c r="J35" s="2"/>
      <c r="K35" s="58"/>
    </row>
    <row r="36" spans="1:8" s="495" customFormat="1" ht="14.25" customHeight="1">
      <c r="A36" s="496"/>
      <c r="B36" s="598"/>
      <c r="C36" s="598"/>
      <c r="D36" s="598"/>
      <c r="E36" s="497"/>
      <c r="F36" s="497"/>
      <c r="G36" s="497"/>
      <c r="H36" s="497"/>
    </row>
    <row r="37" spans="1:8" s="445" customFormat="1" ht="15" customHeight="1">
      <c r="A37" s="496"/>
      <c r="B37" s="599"/>
      <c r="C37" s="599"/>
      <c r="D37" s="599"/>
      <c r="E37" s="497"/>
      <c r="F37" s="497"/>
      <c r="G37" s="497"/>
      <c r="H37" s="497"/>
    </row>
    <row r="38" spans="1:8" s="445" customFormat="1" ht="24.75" customHeight="1">
      <c r="A38" s="498"/>
      <c r="B38" s="499"/>
      <c r="C38" s="499"/>
      <c r="D38" s="499"/>
      <c r="E38" s="497"/>
      <c r="F38" s="497"/>
      <c r="G38" s="497"/>
      <c r="H38" s="497"/>
    </row>
    <row r="39" spans="1:8" s="445" customFormat="1" ht="18" customHeight="1">
      <c r="A39" s="499"/>
      <c r="B39" s="499"/>
      <c r="C39" s="499"/>
      <c r="D39" s="499"/>
      <c r="E39" s="499"/>
      <c r="F39" s="499"/>
      <c r="G39" s="499"/>
      <c r="H39" s="499"/>
    </row>
    <row r="40" spans="1:8" s="445" customFormat="1" ht="11.25">
      <c r="A40" s="499"/>
      <c r="B40" s="499"/>
      <c r="C40" s="499"/>
      <c r="D40" s="499"/>
      <c r="E40" s="499"/>
      <c r="F40" s="499"/>
      <c r="G40" s="499"/>
      <c r="H40" s="499"/>
    </row>
    <row r="41" spans="1:8" s="445" customFormat="1" ht="11.25">
      <c r="A41" s="499"/>
      <c r="B41" s="499"/>
      <c r="C41" s="499"/>
      <c r="D41" s="499"/>
      <c r="E41" s="499"/>
      <c r="F41" s="499"/>
      <c r="G41" s="499"/>
      <c r="H41" s="499"/>
    </row>
    <row r="42" spans="1:11" s="484" customFormat="1" ht="11.25">
      <c r="A42" s="500"/>
      <c r="B42" s="500"/>
      <c r="C42" s="500"/>
      <c r="D42" s="500"/>
      <c r="E42" s="500"/>
      <c r="F42" s="500"/>
      <c r="G42" s="500"/>
      <c r="H42" s="500"/>
      <c r="J42" s="445"/>
      <c r="K42" s="445"/>
    </row>
    <row r="43" spans="1:8" s="445" customFormat="1" ht="11.25">
      <c r="A43" s="499"/>
      <c r="B43" s="499"/>
      <c r="C43" s="499"/>
      <c r="D43" s="499"/>
      <c r="E43" s="499"/>
      <c r="F43" s="499"/>
      <c r="G43" s="499"/>
      <c r="H43" s="499"/>
    </row>
    <row r="44" spans="1:8" s="445" customFormat="1" ht="11.25">
      <c r="A44" s="499"/>
      <c r="B44" s="499"/>
      <c r="C44" s="499"/>
      <c r="D44" s="499"/>
      <c r="E44" s="499"/>
      <c r="F44" s="499"/>
      <c r="G44" s="499"/>
      <c r="H44" s="499"/>
    </row>
    <row r="45" spans="1:8" s="445" customFormat="1" ht="11.25">
      <c r="A45" s="499"/>
      <c r="B45" s="499"/>
      <c r="C45" s="499"/>
      <c r="D45" s="499"/>
      <c r="E45" s="499"/>
      <c r="F45" s="499"/>
      <c r="G45" s="499"/>
      <c r="H45" s="499"/>
    </row>
    <row r="46" spans="1:11" s="484" customFormat="1" ht="11.25">
      <c r="A46" s="500"/>
      <c r="B46" s="500"/>
      <c r="C46" s="500"/>
      <c r="D46" s="500"/>
      <c r="E46" s="500"/>
      <c r="F46" s="500"/>
      <c r="G46" s="500"/>
      <c r="H46" s="500"/>
      <c r="J46" s="445"/>
      <c r="K46" s="445"/>
    </row>
    <row r="47" spans="1:11" s="495" customFormat="1" ht="11.25">
      <c r="A47" s="501"/>
      <c r="B47" s="501"/>
      <c r="C47" s="501"/>
      <c r="D47" s="501"/>
      <c r="E47" s="501"/>
      <c r="F47" s="501"/>
      <c r="G47" s="501"/>
      <c r="H47" s="501"/>
      <c r="J47" s="445"/>
      <c r="K47" s="445"/>
    </row>
    <row r="48" spans="1:11" s="495" customFormat="1" ht="12.75">
      <c r="A48" s="502"/>
      <c r="B48" s="501"/>
      <c r="C48" s="501"/>
      <c r="D48" s="501"/>
      <c r="E48" s="503"/>
      <c r="F48" s="503"/>
      <c r="G48" s="503"/>
      <c r="H48" s="503"/>
      <c r="J48" s="445"/>
      <c r="K48" s="445"/>
    </row>
    <row r="49" spans="1:8" s="445" customFormat="1" ht="11.25">
      <c r="A49" s="494"/>
      <c r="B49" s="499"/>
      <c r="C49" s="499"/>
      <c r="D49" s="499"/>
      <c r="E49" s="503"/>
      <c r="F49" s="503"/>
      <c r="G49" s="503"/>
      <c r="H49" s="503"/>
    </row>
    <row r="50" spans="1:8" s="445" customFormat="1" ht="11.25">
      <c r="A50" s="504"/>
      <c r="B50" s="499"/>
      <c r="C50" s="499"/>
      <c r="D50" s="499"/>
      <c r="E50" s="505"/>
      <c r="F50" s="505"/>
      <c r="G50" s="505"/>
      <c r="H50" s="505"/>
    </row>
    <row r="51" spans="1:8" s="445" customFormat="1" ht="11.25" customHeight="1">
      <c r="A51" s="499"/>
      <c r="B51" s="499"/>
      <c r="C51" s="499"/>
      <c r="D51" s="499"/>
      <c r="E51" s="499"/>
      <c r="F51" s="499"/>
      <c r="G51" s="499"/>
      <c r="H51" s="499"/>
    </row>
    <row r="52" spans="1:11" s="445" customFormat="1" ht="11.25">
      <c r="A52" s="499"/>
      <c r="B52" s="499"/>
      <c r="C52" s="499"/>
      <c r="D52" s="499"/>
      <c r="E52" s="499"/>
      <c r="F52" s="499"/>
      <c r="G52" s="499"/>
      <c r="H52" s="499"/>
      <c r="J52" s="495"/>
      <c r="K52" s="495"/>
    </row>
    <row r="53" spans="1:8" s="445" customFormat="1" ht="11.25">
      <c r="A53" s="499"/>
      <c r="B53" s="499"/>
      <c r="C53" s="499"/>
      <c r="D53" s="499"/>
      <c r="E53" s="499"/>
      <c r="F53" s="499"/>
      <c r="G53" s="499"/>
      <c r="H53" s="499"/>
    </row>
    <row r="54" spans="1:8" s="445" customFormat="1" ht="11.25">
      <c r="A54" s="499"/>
      <c r="B54" s="499"/>
      <c r="C54" s="499"/>
      <c r="D54" s="499"/>
      <c r="E54" s="499"/>
      <c r="F54" s="499"/>
      <c r="G54" s="499"/>
      <c r="H54" s="499"/>
    </row>
    <row r="55" spans="1:11" s="495" customFormat="1" ht="11.25">
      <c r="A55" s="501"/>
      <c r="B55" s="501"/>
      <c r="C55" s="501"/>
      <c r="D55" s="501"/>
      <c r="E55" s="501"/>
      <c r="F55" s="501"/>
      <c r="G55" s="501"/>
      <c r="H55" s="501"/>
      <c r="J55" s="445"/>
      <c r="K55" s="445"/>
    </row>
    <row r="56" spans="10:11" s="506" customFormat="1" ht="12" customHeight="1">
      <c r="J56" s="495"/>
      <c r="K56" s="495"/>
    </row>
    <row r="57" spans="10:11" s="507" customFormat="1" ht="11.25">
      <c r="J57" s="445"/>
      <c r="K57" s="445"/>
    </row>
    <row r="58" s="445" customFormat="1" ht="11.25"/>
    <row r="59" s="445" customFormat="1" ht="11.25"/>
    <row r="60" spans="10:11" s="495" customFormat="1" ht="11.25" customHeight="1">
      <c r="J60" s="508"/>
      <c r="K60" s="508"/>
    </row>
    <row r="61" spans="10:11" s="445" customFormat="1" ht="12.75">
      <c r="J61" s="2"/>
      <c r="K61" s="2"/>
    </row>
    <row r="62" spans="10:11" s="445" customFormat="1" ht="12.75">
      <c r="J62" s="2"/>
      <c r="K62" s="2"/>
    </row>
    <row r="63" spans="10:11" s="445" customFormat="1" ht="12.75">
      <c r="J63" s="2"/>
      <c r="K63" s="2"/>
    </row>
    <row r="64" spans="10:11" s="495" customFormat="1" ht="12.75">
      <c r="J64" s="2"/>
      <c r="K64" s="2"/>
    </row>
    <row r="65" spans="10:11" s="509" customFormat="1" ht="12.75">
      <c r="J65" s="2"/>
      <c r="K65" s="2"/>
    </row>
    <row r="66" spans="10:11" s="495" customFormat="1" ht="12.75">
      <c r="J66" s="2"/>
      <c r="K66" s="2"/>
    </row>
    <row r="67" spans="10:11" s="445" customFormat="1" ht="12.75">
      <c r="J67" s="2"/>
      <c r="K67" s="2"/>
    </row>
    <row r="68" spans="10:11" s="445" customFormat="1" ht="12.75">
      <c r="J68" s="2"/>
      <c r="K68" s="2"/>
    </row>
    <row r="69" spans="10:11" s="445" customFormat="1" ht="12.75">
      <c r="J69" s="2"/>
      <c r="K69" s="2"/>
    </row>
    <row r="70" spans="10:11" s="445" customFormat="1" ht="12.75">
      <c r="J70" s="2"/>
      <c r="K70" s="2"/>
    </row>
    <row r="71" spans="10:11" s="445" customFormat="1" ht="12.75">
      <c r="J71" s="2"/>
      <c r="K71" s="2"/>
    </row>
    <row r="72" spans="10:11" s="445" customFormat="1" ht="12.75">
      <c r="J72" s="2"/>
      <c r="K72" s="2"/>
    </row>
    <row r="73" spans="10:11" s="445" customFormat="1" ht="12.75">
      <c r="J73" s="2"/>
      <c r="K73" s="2"/>
    </row>
    <row r="74" spans="10:11" s="445" customFormat="1" ht="12.75">
      <c r="J74" s="2"/>
      <c r="K74" s="2"/>
    </row>
    <row r="75" spans="10:11" s="445" customFormat="1" ht="16.5" customHeight="1">
      <c r="J75" s="2"/>
      <c r="K75" s="2"/>
    </row>
    <row r="76" spans="10:11" s="445" customFormat="1" ht="12.75">
      <c r="J76" s="2"/>
      <c r="K76" s="2"/>
    </row>
    <row r="77" spans="10:11" s="445" customFormat="1" ht="12.75">
      <c r="J77" s="2"/>
      <c r="K77" s="2"/>
    </row>
    <row r="78" spans="10:11" s="445" customFormat="1" ht="21.75" customHeight="1">
      <c r="J78" s="2"/>
      <c r="K78" s="2"/>
    </row>
    <row r="79" spans="10:11" s="445" customFormat="1" ht="15.75" customHeight="1">
      <c r="J79" s="2"/>
      <c r="K79" s="2"/>
    </row>
    <row r="80" spans="10:11" s="445" customFormat="1" ht="15.75" customHeight="1">
      <c r="J80" s="2"/>
      <c r="K80" s="2"/>
    </row>
    <row r="81" spans="10:11" s="445" customFormat="1" ht="12.75">
      <c r="J81" s="2"/>
      <c r="K81" s="2"/>
    </row>
    <row r="82" spans="10:11" s="495" customFormat="1" ht="12.75">
      <c r="J82" s="2"/>
      <c r="K82" s="2"/>
    </row>
    <row r="83" spans="10:11" s="445" customFormat="1" ht="12.75">
      <c r="J83" s="2"/>
      <c r="K83" s="2"/>
    </row>
    <row r="84" spans="10:11" s="445" customFormat="1" ht="12.75">
      <c r="J84" s="2"/>
      <c r="K84" s="2"/>
    </row>
    <row r="85" spans="10:11" s="445" customFormat="1" ht="12.75">
      <c r="J85" s="2"/>
      <c r="K85" s="2"/>
    </row>
    <row r="86" spans="10:11" s="495" customFormat="1" ht="12.75">
      <c r="J86" s="2"/>
      <c r="K86" s="2"/>
    </row>
    <row r="87" spans="10:11" s="445" customFormat="1" ht="12.75">
      <c r="J87" s="2"/>
      <c r="K87" s="2"/>
    </row>
    <row r="88" spans="10:11" s="445" customFormat="1" ht="12.75">
      <c r="J88" s="2"/>
      <c r="K88" s="2"/>
    </row>
    <row r="89" spans="10:11" s="445" customFormat="1" ht="12.75">
      <c r="J89" s="2"/>
      <c r="K89" s="2"/>
    </row>
    <row r="90" spans="10:11" s="508" customFormat="1" ht="12.75">
      <c r="J90" s="2"/>
      <c r="K90" s="2"/>
    </row>
    <row r="121" spans="5:8" ht="12.75">
      <c r="E121" s="58"/>
      <c r="F121" s="58"/>
      <c r="G121" s="58"/>
      <c r="H121" s="58"/>
    </row>
    <row r="122" spans="5:8" ht="12.75">
      <c r="E122" s="58"/>
      <c r="F122" s="58"/>
      <c r="G122" s="58"/>
      <c r="H122" s="58"/>
    </row>
    <row r="123" spans="5:8" ht="12.75">
      <c r="E123" s="58"/>
      <c r="F123" s="58"/>
      <c r="G123" s="58"/>
      <c r="H123" s="58"/>
    </row>
    <row r="124" spans="5:8" ht="12.75">
      <c r="E124" s="58"/>
      <c r="F124" s="58"/>
      <c r="G124" s="58"/>
      <c r="H124" s="58"/>
    </row>
    <row r="125" spans="5:8" ht="12.75">
      <c r="E125" s="58"/>
      <c r="F125" s="58"/>
      <c r="G125" s="58"/>
      <c r="H125" s="58"/>
    </row>
    <row r="126" spans="5:8" ht="12.75">
      <c r="E126" s="58"/>
      <c r="F126" s="58"/>
      <c r="G126" s="58"/>
      <c r="H126" s="58"/>
    </row>
    <row r="127" spans="5:8" ht="12.75">
      <c r="E127" s="58"/>
      <c r="F127" s="58"/>
      <c r="G127" s="58"/>
      <c r="H127" s="58"/>
    </row>
    <row r="128" spans="5:8" ht="12.75">
      <c r="E128" s="58"/>
      <c r="F128" s="58"/>
      <c r="G128" s="58"/>
      <c r="H128" s="58"/>
    </row>
    <row r="129" spans="5:8" ht="12.75">
      <c r="E129" s="58"/>
      <c r="F129" s="58"/>
      <c r="G129" s="58"/>
      <c r="H129" s="58"/>
    </row>
    <row r="130" spans="5:8" ht="12.75">
      <c r="E130" s="58"/>
      <c r="F130" s="58"/>
      <c r="G130" s="58"/>
      <c r="H130" s="58"/>
    </row>
    <row r="131" spans="5:8" ht="12.75">
      <c r="E131" s="58"/>
      <c r="F131" s="58"/>
      <c r="G131" s="58"/>
      <c r="H131" s="58"/>
    </row>
    <row r="132" spans="5:8" ht="12.75">
      <c r="E132" s="58"/>
      <c r="F132" s="58"/>
      <c r="G132" s="58"/>
      <c r="H132" s="58"/>
    </row>
    <row r="133" spans="5:8" ht="12.75">
      <c r="E133" s="58"/>
      <c r="F133" s="58"/>
      <c r="G133" s="58"/>
      <c r="H133" s="58"/>
    </row>
    <row r="134" spans="5:8" ht="12.75">
      <c r="E134" s="58"/>
      <c r="F134" s="58"/>
      <c r="G134" s="58"/>
      <c r="H134" s="58"/>
    </row>
    <row r="135" spans="5:8" ht="12.75">
      <c r="E135" s="58"/>
      <c r="F135" s="58"/>
      <c r="G135" s="58"/>
      <c r="H135" s="58"/>
    </row>
    <row r="136" spans="5:8" ht="12.75">
      <c r="E136" s="58"/>
      <c r="F136" s="58"/>
      <c r="G136" s="58"/>
      <c r="H136" s="58"/>
    </row>
    <row r="137" spans="5:8" ht="12.75">
      <c r="E137" s="58"/>
      <c r="F137" s="58"/>
      <c r="G137" s="58"/>
      <c r="H137" s="58"/>
    </row>
    <row r="138" spans="5:8" ht="12.75">
      <c r="E138" s="58"/>
      <c r="F138" s="58"/>
      <c r="G138" s="58"/>
      <c r="H138" s="58"/>
    </row>
    <row r="139" spans="5:8" ht="12.75">
      <c r="E139" s="58"/>
      <c r="F139" s="58"/>
      <c r="G139" s="58"/>
      <c r="H139" s="58"/>
    </row>
    <row r="140" spans="5:8" ht="12.75">
      <c r="E140" s="58"/>
      <c r="F140" s="58"/>
      <c r="G140" s="58"/>
      <c r="H140" s="58"/>
    </row>
    <row r="141" spans="5:8" ht="12.75">
      <c r="E141" s="58"/>
      <c r="F141" s="58"/>
      <c r="G141" s="58"/>
      <c r="H141" s="58"/>
    </row>
    <row r="142" spans="5:8" ht="12.75">
      <c r="E142" s="58"/>
      <c r="F142" s="58"/>
      <c r="G142" s="58"/>
      <c r="H142" s="58"/>
    </row>
    <row r="143" spans="5:8" ht="12.75">
      <c r="E143" s="58"/>
      <c r="F143" s="58"/>
      <c r="G143" s="58"/>
      <c r="H143" s="58"/>
    </row>
    <row r="144" spans="5:8" ht="12.75">
      <c r="E144" s="58"/>
      <c r="F144" s="58"/>
      <c r="G144" s="58"/>
      <c r="H144" s="58"/>
    </row>
    <row r="145" spans="5:8" ht="12.75">
      <c r="E145" s="58"/>
      <c r="F145" s="58"/>
      <c r="G145" s="58"/>
      <c r="H145" s="58"/>
    </row>
    <row r="146" spans="5:8" ht="12.75">
      <c r="E146" s="58"/>
      <c r="F146" s="58"/>
      <c r="G146" s="58"/>
      <c r="H146" s="58"/>
    </row>
    <row r="147" spans="5:8" ht="12.75">
      <c r="E147" s="58"/>
      <c r="F147" s="58"/>
      <c r="G147" s="58"/>
      <c r="H147" s="58"/>
    </row>
    <row r="148" spans="5:8" ht="12.75">
      <c r="E148" s="58"/>
      <c r="F148" s="58"/>
      <c r="G148" s="58"/>
      <c r="H148" s="58"/>
    </row>
    <row r="149" spans="5:8" ht="12.75">
      <c r="E149" s="58"/>
      <c r="F149" s="58"/>
      <c r="G149" s="58"/>
      <c r="H149" s="58"/>
    </row>
    <row r="150" spans="5:8" ht="12.75">
      <c r="E150" s="58"/>
      <c r="F150" s="58"/>
      <c r="G150" s="58"/>
      <c r="H150" s="58"/>
    </row>
    <row r="151" spans="5:8" ht="12.75">
      <c r="E151" s="58"/>
      <c r="F151" s="58"/>
      <c r="G151" s="58"/>
      <c r="H151" s="58"/>
    </row>
    <row r="152" spans="5:8" ht="12.75">
      <c r="E152" s="58"/>
      <c r="F152" s="58"/>
      <c r="G152" s="58"/>
      <c r="H152" s="58"/>
    </row>
    <row r="153" spans="5:8" ht="12.75">
      <c r="E153" s="58"/>
      <c r="F153" s="58"/>
      <c r="G153" s="58"/>
      <c r="H153" s="58"/>
    </row>
    <row r="154" spans="5:8" ht="12.75">
      <c r="E154" s="58"/>
      <c r="F154" s="58"/>
      <c r="G154" s="58"/>
      <c r="H154" s="58"/>
    </row>
    <row r="155" spans="5:8" ht="12.75">
      <c r="E155" s="58"/>
      <c r="F155" s="58"/>
      <c r="G155" s="58"/>
      <c r="H155" s="58"/>
    </row>
    <row r="156" spans="5:8" ht="12.75">
      <c r="E156" s="58"/>
      <c r="F156" s="58"/>
      <c r="G156" s="58"/>
      <c r="H156" s="58"/>
    </row>
    <row r="157" spans="5:8" ht="12.75">
      <c r="E157" s="58"/>
      <c r="F157" s="58"/>
      <c r="G157" s="58"/>
      <c r="H157" s="58"/>
    </row>
    <row r="158" spans="5:8" ht="12.75">
      <c r="E158" s="58"/>
      <c r="F158" s="58"/>
      <c r="G158" s="58"/>
      <c r="H158" s="58"/>
    </row>
    <row r="159" spans="5:8" ht="12.75">
      <c r="E159" s="58"/>
      <c r="F159" s="58"/>
      <c r="G159" s="58"/>
      <c r="H159" s="58"/>
    </row>
    <row r="160" spans="5:8" ht="12.75">
      <c r="E160" s="58"/>
      <c r="F160" s="58"/>
      <c r="G160" s="58"/>
      <c r="H160" s="58"/>
    </row>
  </sheetData>
  <sheetProtection selectLockedCells="1" selectUnlockedCells="1"/>
  <mergeCells count="12">
    <mergeCell ref="A4:K4"/>
    <mergeCell ref="B6:D6"/>
    <mergeCell ref="A7:E7"/>
    <mergeCell ref="A21:E21"/>
    <mergeCell ref="J28:J29"/>
    <mergeCell ref="K28:K29"/>
    <mergeCell ref="A35:E35"/>
    <mergeCell ref="B36:D36"/>
    <mergeCell ref="B37:D37"/>
    <mergeCell ref="L28:L29"/>
    <mergeCell ref="M28:M29"/>
    <mergeCell ref="N28:N29"/>
  </mergeCells>
  <printOptions horizontalCentered="1" verticalCentered="1"/>
  <pageMargins left="0.3937007874015748" right="0.3937007874015748" top="0.3937007874015748" bottom="0.15748031496062992" header="0.5118110236220472" footer="0.15748031496062992"/>
  <pageSetup fitToHeight="1" fitToWidth="1" horizontalDpi="300" verticalDpi="300" orientation="landscape" paperSize="8" scale="76" r:id="rId3"/>
  <headerFooter alignWithMargins="0">
    <oddHeader>&amp;R5. sz. melléklet
</oddHeader>
    <oddFooter>&amp;L&amp;D&amp;C&amp;P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BH89"/>
  <sheetViews>
    <sheetView showZeros="0" view="pageBreakPreview" zoomScale="85" zoomScaleSheetLayoutView="85" zoomScalePageLayoutView="0" workbookViewId="0" topLeftCell="A1">
      <pane xSplit="2" ySplit="4" topLeftCell="BD3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43" sqref="R43"/>
    </sheetView>
  </sheetViews>
  <sheetFormatPr defaultColWidth="9.140625" defaultRowHeight="15"/>
  <cols>
    <col min="1" max="1" width="5.7109375" style="2" customWidth="1"/>
    <col min="2" max="2" width="60.28125" style="2" customWidth="1"/>
    <col min="3" max="5" width="11.7109375" style="2" customWidth="1"/>
    <col min="6" max="49" width="11.7109375" style="4" customWidth="1"/>
    <col min="50" max="50" width="13.140625" style="3" customWidth="1"/>
    <col min="51" max="51" width="11.7109375" style="4" customWidth="1"/>
    <col min="52" max="52" width="11.7109375" style="2" customWidth="1"/>
    <col min="53" max="54" width="11.7109375" style="4" customWidth="1"/>
    <col min="55" max="56" width="13.140625" style="3" customWidth="1"/>
    <col min="57" max="57" width="11.7109375" style="4" customWidth="1"/>
    <col min="58" max="58" width="13.140625" style="3" customWidth="1"/>
    <col min="59" max="59" width="13.140625" style="2" customWidth="1"/>
    <col min="60" max="60" width="10.28125" style="1" bestFit="1" customWidth="1"/>
    <col min="61" max="16384" width="9.140625" style="1" customWidth="1"/>
  </cols>
  <sheetData>
    <row r="1" spans="1:59" s="25" customFormat="1" ht="16.5" customHeight="1">
      <c r="A1" s="629" t="s">
        <v>76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6"/>
      <c r="AY1" s="26"/>
      <c r="AZ1" s="27"/>
      <c r="BA1" s="28"/>
      <c r="BB1" s="28"/>
      <c r="BC1" s="129"/>
      <c r="BD1" s="129"/>
      <c r="BE1" s="27"/>
      <c r="BF1" s="129"/>
      <c r="BG1" s="130"/>
    </row>
    <row r="2" spans="1:59" s="17" customFormat="1" ht="37.5" customHeight="1">
      <c r="A2" s="620" t="s">
        <v>59</v>
      </c>
      <c r="B2" s="620"/>
      <c r="C2" s="630" t="s">
        <v>142</v>
      </c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2" t="s">
        <v>141</v>
      </c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3"/>
      <c r="AX2" s="625" t="s">
        <v>138</v>
      </c>
      <c r="AY2" s="634" t="s">
        <v>140</v>
      </c>
      <c r="AZ2" s="635"/>
      <c r="BA2" s="635"/>
      <c r="BB2" s="636"/>
      <c r="BC2" s="617" t="s">
        <v>139</v>
      </c>
      <c r="BD2" s="612" t="s">
        <v>198</v>
      </c>
      <c r="BE2" s="146" t="s">
        <v>199</v>
      </c>
      <c r="BF2" s="612" t="s">
        <v>200</v>
      </c>
      <c r="BG2" s="614" t="s">
        <v>201</v>
      </c>
    </row>
    <row r="3" spans="1:59" s="14" customFormat="1" ht="48" customHeight="1">
      <c r="A3" s="620"/>
      <c r="B3" s="620"/>
      <c r="C3" s="94">
        <v>382101</v>
      </c>
      <c r="D3" s="94">
        <v>421100</v>
      </c>
      <c r="E3" s="94">
        <v>552110</v>
      </c>
      <c r="F3" s="94">
        <v>562917</v>
      </c>
      <c r="G3" s="94">
        <f>'[1]2011_2a_mell'!G3</f>
        <v>581400</v>
      </c>
      <c r="H3" s="94">
        <v>682001</v>
      </c>
      <c r="I3" s="94">
        <v>682002</v>
      </c>
      <c r="J3" s="94">
        <v>750000</v>
      </c>
      <c r="K3" s="94">
        <v>841112</v>
      </c>
      <c r="L3" s="94">
        <v>841116</v>
      </c>
      <c r="M3" s="94">
        <v>841126</v>
      </c>
      <c r="N3" s="94">
        <v>841133</v>
      </c>
      <c r="O3" s="94">
        <v>841191</v>
      </c>
      <c r="P3" s="94">
        <v>841402</v>
      </c>
      <c r="Q3" s="94">
        <v>841403</v>
      </c>
      <c r="R3" s="94">
        <v>841901</v>
      </c>
      <c r="S3" s="94">
        <v>841906</v>
      </c>
      <c r="T3" s="94">
        <v>841908</v>
      </c>
      <c r="U3" s="94">
        <v>854234</v>
      </c>
      <c r="V3" s="94">
        <v>869041</v>
      </c>
      <c r="W3" s="94">
        <v>882111</v>
      </c>
      <c r="X3" s="94">
        <v>882112</v>
      </c>
      <c r="Y3" s="94">
        <v>882113</v>
      </c>
      <c r="Z3" s="94">
        <v>882114</v>
      </c>
      <c r="AA3" s="94">
        <v>882115</v>
      </c>
      <c r="AB3" s="94">
        <v>882116</v>
      </c>
      <c r="AC3" s="94">
        <v>882117</v>
      </c>
      <c r="AD3" s="94">
        <v>882118</v>
      </c>
      <c r="AE3" s="94">
        <v>882119</v>
      </c>
      <c r="AF3" s="94">
        <v>882121</v>
      </c>
      <c r="AG3" s="94">
        <v>882122</v>
      </c>
      <c r="AH3" s="94">
        <v>882123</v>
      </c>
      <c r="AI3" s="94">
        <v>882124</v>
      </c>
      <c r="AJ3" s="94">
        <v>882125</v>
      </c>
      <c r="AK3" s="94">
        <v>882129</v>
      </c>
      <c r="AL3" s="94">
        <v>882202</v>
      </c>
      <c r="AM3" s="94">
        <v>882203</v>
      </c>
      <c r="AN3" s="94">
        <v>889921</v>
      </c>
      <c r="AO3" s="94">
        <v>889928</v>
      </c>
      <c r="AP3" s="94">
        <v>889969</v>
      </c>
      <c r="AQ3" s="94">
        <v>890301</v>
      </c>
      <c r="AR3" s="94">
        <v>890441</v>
      </c>
      <c r="AS3" s="94">
        <v>890442</v>
      </c>
      <c r="AT3" s="94">
        <v>890443</v>
      </c>
      <c r="AU3" s="94">
        <v>910123</v>
      </c>
      <c r="AV3" s="94">
        <v>910502</v>
      </c>
      <c r="AW3" s="94">
        <v>960302</v>
      </c>
      <c r="AX3" s="618"/>
      <c r="AY3" s="95">
        <v>562912</v>
      </c>
      <c r="AZ3" s="95">
        <v>851000</v>
      </c>
      <c r="BA3" s="95">
        <v>851011</v>
      </c>
      <c r="BB3" s="95">
        <v>851012</v>
      </c>
      <c r="BC3" s="618"/>
      <c r="BD3" s="613"/>
      <c r="BE3" s="16">
        <v>841127</v>
      </c>
      <c r="BF3" s="613"/>
      <c r="BG3" s="615"/>
    </row>
    <row r="4" spans="1:59" s="14" customFormat="1" ht="47.25" customHeight="1">
      <c r="A4" s="620"/>
      <c r="B4" s="621"/>
      <c r="C4" s="96" t="s">
        <v>52</v>
      </c>
      <c r="D4" s="96" t="s">
        <v>51</v>
      </c>
      <c r="E4" s="96" t="s">
        <v>50</v>
      </c>
      <c r="F4" s="96" t="s">
        <v>49</v>
      </c>
      <c r="G4" s="96" t="str">
        <f>'[1]2011_2a_mell'!G4</f>
        <v>Folyóirat, időszaki kiadvány kiadása</v>
      </c>
      <c r="H4" s="96" t="s">
        <v>48</v>
      </c>
      <c r="I4" s="96" t="s">
        <v>47</v>
      </c>
      <c r="J4" s="96" t="s">
        <v>46</v>
      </c>
      <c r="K4" s="96" t="s">
        <v>45</v>
      </c>
      <c r="L4" s="96" t="s">
        <v>44</v>
      </c>
      <c r="M4" s="96" t="s">
        <v>43</v>
      </c>
      <c r="N4" s="96" t="s">
        <v>42</v>
      </c>
      <c r="O4" s="96" t="s">
        <v>41</v>
      </c>
      <c r="P4" s="96" t="s">
        <v>40</v>
      </c>
      <c r="Q4" s="96" t="s">
        <v>39</v>
      </c>
      <c r="R4" s="96" t="s">
        <v>38</v>
      </c>
      <c r="S4" s="96" t="s">
        <v>37</v>
      </c>
      <c r="T4" s="96" t="s">
        <v>36</v>
      </c>
      <c r="U4" s="96" t="s">
        <v>35</v>
      </c>
      <c r="V4" s="96" t="s">
        <v>34</v>
      </c>
      <c r="W4" s="96" t="s">
        <v>33</v>
      </c>
      <c r="X4" s="96" t="s">
        <v>32</v>
      </c>
      <c r="Y4" s="96" t="s">
        <v>31</v>
      </c>
      <c r="Z4" s="97" t="s">
        <v>30</v>
      </c>
      <c r="AA4" s="97" t="s">
        <v>29</v>
      </c>
      <c r="AB4" s="97" t="s">
        <v>28</v>
      </c>
      <c r="AC4" s="97" t="s">
        <v>27</v>
      </c>
      <c r="AD4" s="97" t="s">
        <v>26</v>
      </c>
      <c r="AE4" s="97" t="s">
        <v>25</v>
      </c>
      <c r="AF4" s="97" t="s">
        <v>24</v>
      </c>
      <c r="AG4" s="97" t="s">
        <v>23</v>
      </c>
      <c r="AH4" s="97" t="s">
        <v>22</v>
      </c>
      <c r="AI4" s="97" t="s">
        <v>21</v>
      </c>
      <c r="AJ4" s="97" t="s">
        <v>20</v>
      </c>
      <c r="AK4" s="97" t="s">
        <v>19</v>
      </c>
      <c r="AL4" s="97" t="s">
        <v>75</v>
      </c>
      <c r="AM4" s="97" t="s">
        <v>17</v>
      </c>
      <c r="AN4" s="97" t="s">
        <v>16</v>
      </c>
      <c r="AO4" s="97" t="s">
        <v>15</v>
      </c>
      <c r="AP4" s="97" t="s">
        <v>14</v>
      </c>
      <c r="AQ4" s="97" t="s">
        <v>13</v>
      </c>
      <c r="AR4" s="97" t="s">
        <v>208</v>
      </c>
      <c r="AS4" s="97" t="s">
        <v>209</v>
      </c>
      <c r="AT4" s="97" t="s">
        <v>210</v>
      </c>
      <c r="AU4" s="97" t="s">
        <v>12</v>
      </c>
      <c r="AV4" s="97" t="s">
        <v>11</v>
      </c>
      <c r="AW4" s="97" t="s">
        <v>10</v>
      </c>
      <c r="AX4" s="619"/>
      <c r="AY4" s="96" t="s">
        <v>9</v>
      </c>
      <c r="AZ4" s="98" t="s">
        <v>8</v>
      </c>
      <c r="BA4" s="96" t="s">
        <v>7</v>
      </c>
      <c r="BB4" s="96" t="s">
        <v>6</v>
      </c>
      <c r="BC4" s="619"/>
      <c r="BD4" s="613"/>
      <c r="BE4" s="15" t="s">
        <v>5</v>
      </c>
      <c r="BF4" s="613"/>
      <c r="BG4" s="615"/>
    </row>
    <row r="5" spans="1:59" s="7" customFormat="1" ht="15.75">
      <c r="A5" s="99" t="s">
        <v>77</v>
      </c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2"/>
      <c r="AY5" s="101"/>
      <c r="AZ5" s="101"/>
      <c r="BA5" s="101"/>
      <c r="BB5" s="101"/>
      <c r="BC5" s="102"/>
      <c r="BD5" s="147"/>
      <c r="BE5" s="148"/>
      <c r="BF5" s="147"/>
      <c r="BG5" s="149"/>
    </row>
    <row r="6" spans="1:59" s="7" customFormat="1" ht="12.75">
      <c r="A6" s="103">
        <v>1</v>
      </c>
      <c r="B6" s="104" t="s">
        <v>74</v>
      </c>
      <c r="C6" s="92">
        <f>SUM(C7:C12)</f>
        <v>5231</v>
      </c>
      <c r="D6" s="92">
        <f aca="true" t="shared" si="0" ref="D6:BC6">SUM(D7:D12)</f>
        <v>0</v>
      </c>
      <c r="E6" s="92">
        <f t="shared" si="0"/>
        <v>0</v>
      </c>
      <c r="F6" s="92">
        <f t="shared" si="0"/>
        <v>8980</v>
      </c>
      <c r="G6" s="92"/>
      <c r="H6" s="92">
        <f t="shared" si="0"/>
        <v>0</v>
      </c>
      <c r="I6" s="92">
        <f t="shared" si="0"/>
        <v>219</v>
      </c>
      <c r="J6" s="92">
        <f t="shared" si="0"/>
        <v>0</v>
      </c>
      <c r="K6" s="92">
        <f t="shared" si="0"/>
        <v>107</v>
      </c>
      <c r="L6" s="92">
        <f t="shared" si="0"/>
        <v>0</v>
      </c>
      <c r="M6" s="92">
        <f t="shared" si="0"/>
        <v>5205</v>
      </c>
      <c r="N6" s="92">
        <f t="shared" si="0"/>
        <v>0</v>
      </c>
      <c r="O6" s="92">
        <f t="shared" si="0"/>
        <v>0</v>
      </c>
      <c r="P6" s="92">
        <f t="shared" si="0"/>
        <v>0</v>
      </c>
      <c r="Q6" s="92">
        <f t="shared" si="0"/>
        <v>0</v>
      </c>
      <c r="R6" s="92">
        <f t="shared" si="0"/>
        <v>0</v>
      </c>
      <c r="S6" s="92">
        <f t="shared" si="0"/>
        <v>0</v>
      </c>
      <c r="T6" s="92">
        <f t="shared" si="0"/>
        <v>0</v>
      </c>
      <c r="U6" s="92">
        <f t="shared" si="0"/>
        <v>0</v>
      </c>
      <c r="V6" s="92">
        <f t="shared" si="0"/>
        <v>450</v>
      </c>
      <c r="W6" s="92">
        <f t="shared" si="0"/>
        <v>0</v>
      </c>
      <c r="X6" s="92">
        <f t="shared" si="0"/>
        <v>0</v>
      </c>
      <c r="Y6" s="92">
        <f t="shared" si="0"/>
        <v>0</v>
      </c>
      <c r="Z6" s="92">
        <f t="shared" si="0"/>
        <v>0</v>
      </c>
      <c r="AA6" s="92">
        <f t="shared" si="0"/>
        <v>0</v>
      </c>
      <c r="AB6" s="92">
        <f t="shared" si="0"/>
        <v>0</v>
      </c>
      <c r="AC6" s="92">
        <f t="shared" si="0"/>
        <v>0</v>
      </c>
      <c r="AD6" s="92">
        <f t="shared" si="0"/>
        <v>0</v>
      </c>
      <c r="AE6" s="92">
        <f t="shared" si="0"/>
        <v>0</v>
      </c>
      <c r="AF6" s="92">
        <f t="shared" si="0"/>
        <v>0</v>
      </c>
      <c r="AG6" s="92">
        <f t="shared" si="0"/>
        <v>0</v>
      </c>
      <c r="AH6" s="92">
        <f t="shared" si="0"/>
        <v>0</v>
      </c>
      <c r="AI6" s="92">
        <f t="shared" si="0"/>
        <v>0</v>
      </c>
      <c r="AJ6" s="92">
        <f t="shared" si="0"/>
        <v>0</v>
      </c>
      <c r="AK6" s="92">
        <f t="shared" si="0"/>
        <v>0</v>
      </c>
      <c r="AL6" s="92">
        <f t="shared" si="0"/>
        <v>0</v>
      </c>
      <c r="AM6" s="92">
        <f t="shared" si="0"/>
        <v>78</v>
      </c>
      <c r="AN6" s="92">
        <f t="shared" si="0"/>
        <v>0</v>
      </c>
      <c r="AO6" s="92">
        <f t="shared" si="0"/>
        <v>0</v>
      </c>
      <c r="AP6" s="92">
        <f t="shared" si="0"/>
        <v>0</v>
      </c>
      <c r="AQ6" s="92">
        <f t="shared" si="0"/>
        <v>0</v>
      </c>
      <c r="AR6" s="92">
        <f t="shared" si="0"/>
        <v>0</v>
      </c>
      <c r="AS6" s="92">
        <f t="shared" si="0"/>
        <v>0</v>
      </c>
      <c r="AT6" s="92"/>
      <c r="AU6" s="92">
        <f t="shared" si="0"/>
        <v>0</v>
      </c>
      <c r="AV6" s="92">
        <f t="shared" si="0"/>
        <v>168</v>
      </c>
      <c r="AW6" s="92">
        <f t="shared" si="0"/>
        <v>35</v>
      </c>
      <c r="AX6" s="92">
        <f t="shared" si="0"/>
        <v>20473</v>
      </c>
      <c r="AY6" s="92">
        <f t="shared" si="0"/>
        <v>3179</v>
      </c>
      <c r="AZ6" s="92">
        <f t="shared" si="0"/>
        <v>0</v>
      </c>
      <c r="BA6" s="92">
        <f t="shared" si="0"/>
        <v>0</v>
      </c>
      <c r="BB6" s="92">
        <f t="shared" si="0"/>
        <v>0</v>
      </c>
      <c r="BC6" s="92">
        <f t="shared" si="0"/>
        <v>3179</v>
      </c>
      <c r="BD6" s="150">
        <f>BC6+AX6</f>
        <v>23652</v>
      </c>
      <c r="BE6" s="92">
        <f>SUM(BE7:BE12)</f>
        <v>0</v>
      </c>
      <c r="BF6" s="150">
        <f aca="true" t="shared" si="1" ref="BF6:BF49">BE6</f>
        <v>0</v>
      </c>
      <c r="BG6" s="150">
        <f>BD6+BF6</f>
        <v>23652</v>
      </c>
    </row>
    <row r="7" spans="1:59" s="7" customFormat="1" ht="12.75">
      <c r="A7" s="106"/>
      <c r="B7" s="105" t="s">
        <v>168</v>
      </c>
      <c r="C7" s="13"/>
      <c r="D7" s="13"/>
      <c r="E7" s="13"/>
      <c r="F7" s="13"/>
      <c r="G7" s="13"/>
      <c r="H7" s="13"/>
      <c r="I7" s="13"/>
      <c r="J7" s="13"/>
      <c r="K7" s="13">
        <v>86</v>
      </c>
      <c r="L7" s="13"/>
      <c r="M7" s="13">
        <v>444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>
        <v>78</v>
      </c>
      <c r="AN7" s="13"/>
      <c r="AO7" s="13"/>
      <c r="AP7" s="13"/>
      <c r="AQ7" s="13"/>
      <c r="AR7" s="13"/>
      <c r="AS7" s="13"/>
      <c r="AT7" s="13"/>
      <c r="AU7" s="13"/>
      <c r="AV7" s="13"/>
      <c r="AW7" s="13">
        <v>35</v>
      </c>
      <c r="AX7" s="128">
        <f>SUM(C7:AW7)</f>
        <v>643</v>
      </c>
      <c r="AY7" s="13"/>
      <c r="AZ7" s="13"/>
      <c r="BA7" s="13"/>
      <c r="BB7" s="13"/>
      <c r="BC7" s="128">
        <f aca="true" t="shared" si="2" ref="BC7:BC12">SUM(AY7:BB7)</f>
        <v>0</v>
      </c>
      <c r="BD7" s="151">
        <f aca="true" t="shared" si="3" ref="BD7:BD49">BC7+AX7</f>
        <v>643</v>
      </c>
      <c r="BE7" s="13"/>
      <c r="BF7" s="152">
        <f t="shared" si="1"/>
        <v>0</v>
      </c>
      <c r="BG7" s="8">
        <f>BD7+BF7</f>
        <v>643</v>
      </c>
    </row>
    <row r="8" spans="1:59" s="7" customFormat="1" ht="12.75">
      <c r="A8" s="106"/>
      <c r="B8" s="105" t="s">
        <v>169</v>
      </c>
      <c r="C8" s="13"/>
      <c r="D8" s="13"/>
      <c r="E8" s="13"/>
      <c r="F8" s="13"/>
      <c r="G8" s="13"/>
      <c r="H8" s="13"/>
      <c r="I8" s="13">
        <v>107</v>
      </c>
      <c r="J8" s="13"/>
      <c r="K8" s="13"/>
      <c r="L8" s="13"/>
      <c r="M8" s="13">
        <v>20</v>
      </c>
      <c r="N8" s="13"/>
      <c r="O8" s="13"/>
      <c r="P8" s="13"/>
      <c r="Q8" s="13"/>
      <c r="R8" s="13"/>
      <c r="S8" s="13"/>
      <c r="T8" s="13"/>
      <c r="U8" s="13"/>
      <c r="V8" s="13">
        <v>450</v>
      </c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>
        <v>168</v>
      </c>
      <c r="AW8" s="13"/>
      <c r="AX8" s="128">
        <f aca="true" t="shared" si="4" ref="AX8:AX36">SUM(C8:AW8)</f>
        <v>745</v>
      </c>
      <c r="AY8" s="13"/>
      <c r="AZ8" s="13"/>
      <c r="BA8" s="13"/>
      <c r="BB8" s="13"/>
      <c r="BC8" s="128">
        <f t="shared" si="2"/>
        <v>0</v>
      </c>
      <c r="BD8" s="151">
        <f t="shared" si="3"/>
        <v>745</v>
      </c>
      <c r="BE8" s="13"/>
      <c r="BF8" s="152">
        <f t="shared" si="1"/>
        <v>0</v>
      </c>
      <c r="BG8" s="8">
        <f aca="true" t="shared" si="5" ref="BG8:BG36">BD8+BF8</f>
        <v>745</v>
      </c>
    </row>
    <row r="9" spans="1:59" s="7" customFormat="1" ht="12.75">
      <c r="A9" s="106"/>
      <c r="B9" s="107" t="s">
        <v>170</v>
      </c>
      <c r="C9" s="13">
        <v>4185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28">
        <f t="shared" si="4"/>
        <v>4185</v>
      </c>
      <c r="AY9" s="13"/>
      <c r="AZ9" s="13"/>
      <c r="BA9" s="13"/>
      <c r="BB9" s="13"/>
      <c r="BC9" s="128">
        <f t="shared" si="2"/>
        <v>0</v>
      </c>
      <c r="BD9" s="151">
        <f t="shared" si="3"/>
        <v>4185</v>
      </c>
      <c r="BE9" s="13"/>
      <c r="BF9" s="152">
        <f t="shared" si="1"/>
        <v>0</v>
      </c>
      <c r="BG9" s="8">
        <f t="shared" si="5"/>
        <v>4185</v>
      </c>
    </row>
    <row r="10" spans="1:59" s="7" customFormat="1" ht="12.75">
      <c r="A10" s="106"/>
      <c r="B10" s="105" t="s">
        <v>171</v>
      </c>
      <c r="C10" s="13"/>
      <c r="D10" s="13"/>
      <c r="E10" s="13"/>
      <c r="F10" s="13">
        <v>7184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28">
        <f t="shared" si="4"/>
        <v>7184</v>
      </c>
      <c r="AY10" s="13">
        <v>2543</v>
      </c>
      <c r="AZ10" s="13"/>
      <c r="BA10" s="13"/>
      <c r="BB10" s="13"/>
      <c r="BC10" s="128">
        <f t="shared" si="2"/>
        <v>2543</v>
      </c>
      <c r="BD10" s="151">
        <f t="shared" si="3"/>
        <v>9727</v>
      </c>
      <c r="BE10" s="13"/>
      <c r="BF10" s="152">
        <f t="shared" si="1"/>
        <v>0</v>
      </c>
      <c r="BG10" s="8">
        <f t="shared" si="5"/>
        <v>9727</v>
      </c>
    </row>
    <row r="11" spans="1:59" s="7" customFormat="1" ht="12.75">
      <c r="A11" s="106"/>
      <c r="B11" s="105" t="s">
        <v>172</v>
      </c>
      <c r="C11" s="13">
        <v>1046</v>
      </c>
      <c r="D11" s="13"/>
      <c r="E11" s="13"/>
      <c r="F11" s="13">
        <v>1796</v>
      </c>
      <c r="G11" s="13"/>
      <c r="H11" s="13"/>
      <c r="I11" s="13">
        <v>112</v>
      </c>
      <c r="J11" s="13"/>
      <c r="K11" s="13">
        <v>21</v>
      </c>
      <c r="L11" s="13"/>
      <c r="M11" s="13">
        <v>3788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28">
        <f t="shared" si="4"/>
        <v>6763</v>
      </c>
      <c r="AY11" s="13">
        <v>636</v>
      </c>
      <c r="AZ11" s="13"/>
      <c r="BA11" s="13"/>
      <c r="BB11" s="13"/>
      <c r="BC11" s="128">
        <f t="shared" si="2"/>
        <v>636</v>
      </c>
      <c r="BD11" s="151">
        <f t="shared" si="3"/>
        <v>7399</v>
      </c>
      <c r="BE11" s="13"/>
      <c r="BF11" s="152">
        <f t="shared" si="1"/>
        <v>0</v>
      </c>
      <c r="BG11" s="8">
        <f t="shared" si="5"/>
        <v>7399</v>
      </c>
    </row>
    <row r="12" spans="1:59" s="7" customFormat="1" ht="12.75">
      <c r="A12" s="106"/>
      <c r="B12" s="105" t="s">
        <v>173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>
        <v>953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28">
        <f t="shared" si="4"/>
        <v>953</v>
      </c>
      <c r="AY12" s="13"/>
      <c r="AZ12" s="13"/>
      <c r="BA12" s="13"/>
      <c r="BB12" s="13"/>
      <c r="BC12" s="128">
        <f t="shared" si="2"/>
        <v>0</v>
      </c>
      <c r="BD12" s="151">
        <f t="shared" si="3"/>
        <v>953</v>
      </c>
      <c r="BE12" s="13"/>
      <c r="BF12" s="152">
        <f t="shared" si="1"/>
        <v>0</v>
      </c>
      <c r="BG12" s="8">
        <f t="shared" si="5"/>
        <v>953</v>
      </c>
    </row>
    <row r="13" spans="1:59" s="7" customFormat="1" ht="12.75">
      <c r="A13" s="103">
        <v>2</v>
      </c>
      <c r="B13" s="108" t="s">
        <v>78</v>
      </c>
      <c r="C13" s="92">
        <f>SUM(C14:C21)</f>
        <v>0</v>
      </c>
      <c r="D13" s="92">
        <f aca="true" t="shared" si="6" ref="D13:BC13">SUM(D14:D21)</f>
        <v>0</v>
      </c>
      <c r="E13" s="92">
        <f t="shared" si="6"/>
        <v>0</v>
      </c>
      <c r="F13" s="92">
        <f t="shared" si="6"/>
        <v>0</v>
      </c>
      <c r="G13" s="92"/>
      <c r="H13" s="92">
        <f t="shared" si="6"/>
        <v>644</v>
      </c>
      <c r="I13" s="92">
        <f t="shared" si="6"/>
        <v>902</v>
      </c>
      <c r="J13" s="92">
        <f t="shared" si="6"/>
        <v>0</v>
      </c>
      <c r="K13" s="92">
        <f t="shared" si="6"/>
        <v>0</v>
      </c>
      <c r="L13" s="92">
        <f t="shared" si="6"/>
        <v>0</v>
      </c>
      <c r="M13" s="92">
        <f t="shared" si="6"/>
        <v>0</v>
      </c>
      <c r="N13" s="92">
        <f t="shared" si="6"/>
        <v>0</v>
      </c>
      <c r="O13" s="92">
        <f t="shared" si="6"/>
        <v>0</v>
      </c>
      <c r="P13" s="92">
        <f t="shared" si="6"/>
        <v>0</v>
      </c>
      <c r="Q13" s="92">
        <f t="shared" si="6"/>
        <v>0</v>
      </c>
      <c r="R13" s="92">
        <f t="shared" si="6"/>
        <v>84131</v>
      </c>
      <c r="S13" s="92">
        <f t="shared" si="6"/>
        <v>0</v>
      </c>
      <c r="T13" s="92">
        <f t="shared" si="6"/>
        <v>0</v>
      </c>
      <c r="U13" s="92">
        <f t="shared" si="6"/>
        <v>0</v>
      </c>
      <c r="V13" s="92">
        <f t="shared" si="6"/>
        <v>0</v>
      </c>
      <c r="W13" s="92">
        <f t="shared" si="6"/>
        <v>0</v>
      </c>
      <c r="X13" s="92">
        <f t="shared" si="6"/>
        <v>0</v>
      </c>
      <c r="Y13" s="92">
        <f t="shared" si="6"/>
        <v>0</v>
      </c>
      <c r="Z13" s="92">
        <f t="shared" si="6"/>
        <v>0</v>
      </c>
      <c r="AA13" s="92">
        <f t="shared" si="6"/>
        <v>0</v>
      </c>
      <c r="AB13" s="92">
        <f t="shared" si="6"/>
        <v>0</v>
      </c>
      <c r="AC13" s="92">
        <f t="shared" si="6"/>
        <v>0</v>
      </c>
      <c r="AD13" s="92">
        <f t="shared" si="6"/>
        <v>0</v>
      </c>
      <c r="AE13" s="92">
        <f t="shared" si="6"/>
        <v>0</v>
      </c>
      <c r="AF13" s="92">
        <f t="shared" si="6"/>
        <v>0</v>
      </c>
      <c r="AG13" s="92">
        <f t="shared" si="6"/>
        <v>0</v>
      </c>
      <c r="AH13" s="92">
        <f t="shared" si="6"/>
        <v>0</v>
      </c>
      <c r="AI13" s="92">
        <f t="shared" si="6"/>
        <v>0</v>
      </c>
      <c r="AJ13" s="92">
        <f t="shared" si="6"/>
        <v>0</v>
      </c>
      <c r="AK13" s="92">
        <f t="shared" si="6"/>
        <v>0</v>
      </c>
      <c r="AL13" s="92">
        <f t="shared" si="6"/>
        <v>0</v>
      </c>
      <c r="AM13" s="92">
        <f t="shared" si="6"/>
        <v>0</v>
      </c>
      <c r="AN13" s="92">
        <f t="shared" si="6"/>
        <v>0</v>
      </c>
      <c r="AO13" s="92">
        <f t="shared" si="6"/>
        <v>0</v>
      </c>
      <c r="AP13" s="92">
        <f t="shared" si="6"/>
        <v>0</v>
      </c>
      <c r="AQ13" s="92">
        <f t="shared" si="6"/>
        <v>0</v>
      </c>
      <c r="AR13" s="92">
        <f t="shared" si="6"/>
        <v>0</v>
      </c>
      <c r="AS13" s="92">
        <f t="shared" si="6"/>
        <v>0</v>
      </c>
      <c r="AT13" s="92"/>
      <c r="AU13" s="92">
        <f t="shared" si="6"/>
        <v>0</v>
      </c>
      <c r="AV13" s="92">
        <f t="shared" si="6"/>
        <v>0</v>
      </c>
      <c r="AW13" s="92">
        <f t="shared" si="6"/>
        <v>0</v>
      </c>
      <c r="AX13" s="92">
        <f t="shared" si="6"/>
        <v>85677</v>
      </c>
      <c r="AY13" s="92">
        <f t="shared" si="6"/>
        <v>0</v>
      </c>
      <c r="AZ13" s="92">
        <f t="shared" si="6"/>
        <v>0</v>
      </c>
      <c r="BA13" s="92">
        <f t="shared" si="6"/>
        <v>0</v>
      </c>
      <c r="BB13" s="92">
        <f t="shared" si="6"/>
        <v>0</v>
      </c>
      <c r="BC13" s="92">
        <f t="shared" si="6"/>
        <v>0</v>
      </c>
      <c r="BD13" s="150">
        <f t="shared" si="3"/>
        <v>85677</v>
      </c>
      <c r="BE13" s="92">
        <f>SUM(BE14:BE21)</f>
        <v>0</v>
      </c>
      <c r="BF13" s="150">
        <f t="shared" si="1"/>
        <v>0</v>
      </c>
      <c r="BG13" s="150">
        <f>BF13+BC13+AX13</f>
        <v>85677</v>
      </c>
    </row>
    <row r="14" spans="1:59" s="7" customFormat="1" ht="12.75">
      <c r="A14" s="109"/>
      <c r="B14" s="105" t="s">
        <v>146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>
        <v>21061</v>
      </c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28">
        <f t="shared" si="4"/>
        <v>21061</v>
      </c>
      <c r="AY14" s="13"/>
      <c r="AZ14" s="13"/>
      <c r="BA14" s="13"/>
      <c r="BB14" s="13"/>
      <c r="BC14" s="128">
        <f>SUM(AY14:BB14)</f>
        <v>0</v>
      </c>
      <c r="BD14" s="151">
        <f t="shared" si="3"/>
        <v>21061</v>
      </c>
      <c r="BE14" s="13"/>
      <c r="BF14" s="152">
        <f t="shared" si="1"/>
        <v>0</v>
      </c>
      <c r="BG14" s="8">
        <f t="shared" si="5"/>
        <v>21061</v>
      </c>
    </row>
    <row r="15" spans="1:59" s="7" customFormat="1" ht="12.75">
      <c r="A15" s="106"/>
      <c r="B15" s="105" t="s">
        <v>147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v>165</v>
      </c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28">
        <f t="shared" si="4"/>
        <v>165</v>
      </c>
      <c r="AY15" s="13"/>
      <c r="AZ15" s="13"/>
      <c r="BA15" s="13"/>
      <c r="BB15" s="13"/>
      <c r="BC15" s="128">
        <f aca="true" t="shared" si="7" ref="BC15:BC21">SUM(AY15:BB15)</f>
        <v>0</v>
      </c>
      <c r="BD15" s="151">
        <f t="shared" si="3"/>
        <v>165</v>
      </c>
      <c r="BE15" s="13"/>
      <c r="BF15" s="152">
        <f t="shared" si="1"/>
        <v>0</v>
      </c>
      <c r="BG15" s="8">
        <f t="shared" si="5"/>
        <v>165</v>
      </c>
    </row>
    <row r="16" spans="1:59" s="7" customFormat="1" ht="12.75">
      <c r="A16" s="106"/>
      <c r="B16" s="105" t="s">
        <v>148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v>11358</v>
      </c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28">
        <f t="shared" si="4"/>
        <v>11358</v>
      </c>
      <c r="AY16" s="13"/>
      <c r="AZ16" s="13"/>
      <c r="BA16" s="13"/>
      <c r="BB16" s="13"/>
      <c r="BC16" s="128">
        <f t="shared" si="7"/>
        <v>0</v>
      </c>
      <c r="BD16" s="151">
        <f t="shared" si="3"/>
        <v>11358</v>
      </c>
      <c r="BE16" s="13"/>
      <c r="BF16" s="152">
        <f t="shared" si="1"/>
        <v>0</v>
      </c>
      <c r="BG16" s="8">
        <f t="shared" si="5"/>
        <v>11358</v>
      </c>
    </row>
    <row r="17" spans="1:59" s="7" customFormat="1" ht="12.75">
      <c r="A17" s="106"/>
      <c r="B17" s="105" t="s">
        <v>149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>
        <v>15500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28">
        <f t="shared" si="4"/>
        <v>15500</v>
      </c>
      <c r="AY17" s="13"/>
      <c r="AZ17" s="13"/>
      <c r="BA17" s="13"/>
      <c r="BB17" s="13"/>
      <c r="BC17" s="128">
        <f t="shared" si="7"/>
        <v>0</v>
      </c>
      <c r="BD17" s="151">
        <f t="shared" si="3"/>
        <v>15500</v>
      </c>
      <c r="BE17" s="13"/>
      <c r="BF17" s="152">
        <f t="shared" si="1"/>
        <v>0</v>
      </c>
      <c r="BG17" s="8">
        <f t="shared" si="5"/>
        <v>15500</v>
      </c>
    </row>
    <row r="18" spans="1:59" s="7" customFormat="1" ht="12.75">
      <c r="A18" s="106"/>
      <c r="B18" s="105" t="s">
        <v>150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v>35053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28">
        <f t="shared" si="4"/>
        <v>35053</v>
      </c>
      <c r="AY18" s="13"/>
      <c r="AZ18" s="13"/>
      <c r="BA18" s="13"/>
      <c r="BB18" s="13"/>
      <c r="BC18" s="128">
        <f t="shared" si="7"/>
        <v>0</v>
      </c>
      <c r="BD18" s="151">
        <f t="shared" si="3"/>
        <v>35053</v>
      </c>
      <c r="BE18" s="13"/>
      <c r="BF18" s="152">
        <f t="shared" si="1"/>
        <v>0</v>
      </c>
      <c r="BG18" s="8">
        <f t="shared" si="5"/>
        <v>35053</v>
      </c>
    </row>
    <row r="19" spans="1:59" s="7" customFormat="1" ht="12.75">
      <c r="A19" s="106"/>
      <c r="B19" s="105" t="s">
        <v>151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28">
        <f t="shared" si="4"/>
        <v>0</v>
      </c>
      <c r="AY19" s="13"/>
      <c r="AZ19" s="13"/>
      <c r="BA19" s="13"/>
      <c r="BB19" s="13"/>
      <c r="BC19" s="128">
        <f t="shared" si="7"/>
        <v>0</v>
      </c>
      <c r="BD19" s="151">
        <f t="shared" si="3"/>
        <v>0</v>
      </c>
      <c r="BE19" s="13"/>
      <c r="BF19" s="152">
        <f t="shared" si="1"/>
        <v>0</v>
      </c>
      <c r="BG19" s="8">
        <f t="shared" si="5"/>
        <v>0</v>
      </c>
    </row>
    <row r="20" spans="1:59" s="7" customFormat="1" ht="12.75">
      <c r="A20" s="106"/>
      <c r="B20" s="105" t="s">
        <v>152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>
        <v>842</v>
      </c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28">
        <f t="shared" si="4"/>
        <v>842</v>
      </c>
      <c r="AY20" s="13"/>
      <c r="AZ20" s="13"/>
      <c r="BA20" s="13"/>
      <c r="BB20" s="13"/>
      <c r="BC20" s="128">
        <f t="shared" si="7"/>
        <v>0</v>
      </c>
      <c r="BD20" s="151">
        <f t="shared" si="3"/>
        <v>842</v>
      </c>
      <c r="BE20" s="13"/>
      <c r="BF20" s="152">
        <f t="shared" si="1"/>
        <v>0</v>
      </c>
      <c r="BG20" s="8">
        <f t="shared" si="5"/>
        <v>842</v>
      </c>
    </row>
    <row r="21" spans="1:59" s="7" customFormat="1" ht="12.75">
      <c r="A21" s="110"/>
      <c r="B21" s="105" t="s">
        <v>153</v>
      </c>
      <c r="C21" s="13"/>
      <c r="D21" s="13"/>
      <c r="E21" s="13"/>
      <c r="F21" s="13"/>
      <c r="G21" s="13"/>
      <c r="H21" s="13">
        <v>644</v>
      </c>
      <c r="I21" s="13">
        <v>902</v>
      </c>
      <c r="J21" s="13"/>
      <c r="K21" s="13"/>
      <c r="L21" s="13"/>
      <c r="M21" s="13"/>
      <c r="N21" s="13"/>
      <c r="O21" s="13"/>
      <c r="P21" s="13"/>
      <c r="Q21" s="13"/>
      <c r="R21" s="13">
        <v>152</v>
      </c>
      <c r="S21" s="13"/>
      <c r="T21" s="13"/>
      <c r="U21" s="13"/>
      <c r="V21" s="13">
        <v>0</v>
      </c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28">
        <f t="shared" si="4"/>
        <v>1698</v>
      </c>
      <c r="AY21" s="13"/>
      <c r="AZ21" s="13"/>
      <c r="BA21" s="13"/>
      <c r="BB21" s="13"/>
      <c r="BC21" s="128">
        <f t="shared" si="7"/>
        <v>0</v>
      </c>
      <c r="BD21" s="151">
        <f t="shared" si="3"/>
        <v>1698</v>
      </c>
      <c r="BE21" s="13"/>
      <c r="BF21" s="152">
        <f t="shared" si="1"/>
        <v>0</v>
      </c>
      <c r="BG21" s="8">
        <f t="shared" si="5"/>
        <v>1698</v>
      </c>
    </row>
    <row r="22" spans="1:59" s="7" customFormat="1" ht="12.75">
      <c r="A22" s="103">
        <v>3</v>
      </c>
      <c r="B22" s="111" t="s">
        <v>72</v>
      </c>
      <c r="C22" s="92">
        <f>SUM(C23:C25)</f>
        <v>0</v>
      </c>
      <c r="D22" s="92">
        <f aca="true" t="shared" si="8" ref="D22:BC22">SUM(D23:D25)</f>
        <v>0</v>
      </c>
      <c r="E22" s="92">
        <f t="shared" si="8"/>
        <v>0</v>
      </c>
      <c r="F22" s="92">
        <f t="shared" si="8"/>
        <v>0</v>
      </c>
      <c r="G22" s="92"/>
      <c r="H22" s="92">
        <f t="shared" si="8"/>
        <v>0</v>
      </c>
      <c r="I22" s="92">
        <f t="shared" si="8"/>
        <v>0</v>
      </c>
      <c r="J22" s="92">
        <f t="shared" si="8"/>
        <v>0</v>
      </c>
      <c r="K22" s="92">
        <f t="shared" si="8"/>
        <v>0</v>
      </c>
      <c r="L22" s="92">
        <f t="shared" si="8"/>
        <v>0</v>
      </c>
      <c r="M22" s="92">
        <f t="shared" si="8"/>
        <v>0</v>
      </c>
      <c r="N22" s="92">
        <f t="shared" si="8"/>
        <v>0</v>
      </c>
      <c r="O22" s="92">
        <f t="shared" si="8"/>
        <v>0</v>
      </c>
      <c r="P22" s="92">
        <f t="shared" si="8"/>
        <v>0</v>
      </c>
      <c r="Q22" s="92">
        <f t="shared" si="8"/>
        <v>0</v>
      </c>
      <c r="R22" s="92">
        <f t="shared" si="8"/>
        <v>39296</v>
      </c>
      <c r="S22" s="92">
        <f t="shared" si="8"/>
        <v>0</v>
      </c>
      <c r="T22" s="92">
        <f t="shared" si="8"/>
        <v>0</v>
      </c>
      <c r="U22" s="92">
        <f t="shared" si="8"/>
        <v>0</v>
      </c>
      <c r="V22" s="92">
        <f t="shared" si="8"/>
        <v>0</v>
      </c>
      <c r="W22" s="92">
        <f t="shared" si="8"/>
        <v>0</v>
      </c>
      <c r="X22" s="92">
        <f t="shared" si="8"/>
        <v>0</v>
      </c>
      <c r="Y22" s="92">
        <f t="shared" si="8"/>
        <v>0</v>
      </c>
      <c r="Z22" s="92">
        <f t="shared" si="8"/>
        <v>0</v>
      </c>
      <c r="AA22" s="92">
        <f t="shared" si="8"/>
        <v>0</v>
      </c>
      <c r="AB22" s="92">
        <f t="shared" si="8"/>
        <v>0</v>
      </c>
      <c r="AC22" s="92">
        <f t="shared" si="8"/>
        <v>0</v>
      </c>
      <c r="AD22" s="92">
        <f t="shared" si="8"/>
        <v>0</v>
      </c>
      <c r="AE22" s="92">
        <f t="shared" si="8"/>
        <v>0</v>
      </c>
      <c r="AF22" s="92">
        <f t="shared" si="8"/>
        <v>0</v>
      </c>
      <c r="AG22" s="92">
        <f t="shared" si="8"/>
        <v>0</v>
      </c>
      <c r="AH22" s="92">
        <f t="shared" si="8"/>
        <v>0</v>
      </c>
      <c r="AI22" s="92">
        <f t="shared" si="8"/>
        <v>0</v>
      </c>
      <c r="AJ22" s="92">
        <f t="shared" si="8"/>
        <v>0</v>
      </c>
      <c r="AK22" s="92">
        <f t="shared" si="8"/>
        <v>0</v>
      </c>
      <c r="AL22" s="92">
        <f t="shared" si="8"/>
        <v>0</v>
      </c>
      <c r="AM22" s="92">
        <f t="shared" si="8"/>
        <v>0</v>
      </c>
      <c r="AN22" s="92">
        <f t="shared" si="8"/>
        <v>0</v>
      </c>
      <c r="AO22" s="92">
        <f t="shared" si="8"/>
        <v>0</v>
      </c>
      <c r="AP22" s="92">
        <f t="shared" si="8"/>
        <v>0</v>
      </c>
      <c r="AQ22" s="92">
        <f t="shared" si="8"/>
        <v>0</v>
      </c>
      <c r="AR22" s="92">
        <f t="shared" si="8"/>
        <v>0</v>
      </c>
      <c r="AS22" s="92">
        <f t="shared" si="8"/>
        <v>0</v>
      </c>
      <c r="AT22" s="92"/>
      <c r="AU22" s="92">
        <f t="shared" si="8"/>
        <v>0</v>
      </c>
      <c r="AV22" s="92">
        <f t="shared" si="8"/>
        <v>0</v>
      </c>
      <c r="AW22" s="92">
        <f t="shared" si="8"/>
        <v>0</v>
      </c>
      <c r="AX22" s="92">
        <f t="shared" si="8"/>
        <v>39296</v>
      </c>
      <c r="AY22" s="92">
        <f t="shared" si="8"/>
        <v>0</v>
      </c>
      <c r="AZ22" s="92">
        <f t="shared" si="8"/>
        <v>0</v>
      </c>
      <c r="BA22" s="92">
        <f t="shared" si="8"/>
        <v>0</v>
      </c>
      <c r="BB22" s="92">
        <f t="shared" si="8"/>
        <v>0</v>
      </c>
      <c r="BC22" s="92">
        <f t="shared" si="8"/>
        <v>0</v>
      </c>
      <c r="BD22" s="150">
        <f t="shared" si="3"/>
        <v>39296</v>
      </c>
      <c r="BE22" s="92">
        <f>SUM(BE23:BE25)</f>
        <v>0</v>
      </c>
      <c r="BF22" s="150">
        <f t="shared" si="1"/>
        <v>0</v>
      </c>
      <c r="BG22" s="150">
        <f>BF22+BC22+AX22</f>
        <v>39296</v>
      </c>
    </row>
    <row r="23" spans="1:59" s="7" customFormat="1" ht="12.75">
      <c r="A23" s="106"/>
      <c r="B23" s="112" t="s">
        <v>182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>
        <v>27877</v>
      </c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28">
        <f t="shared" si="4"/>
        <v>27877</v>
      </c>
      <c r="AY23" s="13"/>
      <c r="AZ23" s="13"/>
      <c r="BA23" s="13"/>
      <c r="BB23" s="13"/>
      <c r="BC23" s="128">
        <f>SUM(AY23:BB23)</f>
        <v>0</v>
      </c>
      <c r="BD23" s="151">
        <f t="shared" si="3"/>
        <v>27877</v>
      </c>
      <c r="BE23" s="13"/>
      <c r="BF23" s="152">
        <f t="shared" si="1"/>
        <v>0</v>
      </c>
      <c r="BG23" s="8">
        <f t="shared" si="5"/>
        <v>27877</v>
      </c>
    </row>
    <row r="24" spans="1:59" s="7" customFormat="1" ht="12.75">
      <c r="A24" s="106"/>
      <c r="B24" s="113" t="s">
        <v>154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v>10793</v>
      </c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28">
        <f t="shared" si="4"/>
        <v>10793</v>
      </c>
      <c r="AY24" s="13"/>
      <c r="AZ24" s="13"/>
      <c r="BA24" s="13"/>
      <c r="BB24" s="13"/>
      <c r="BC24" s="128">
        <f>SUM(AY24:BB24)</f>
        <v>0</v>
      </c>
      <c r="BD24" s="151">
        <f t="shared" si="3"/>
        <v>10793</v>
      </c>
      <c r="BE24" s="13"/>
      <c r="BF24" s="152">
        <f t="shared" si="1"/>
        <v>0</v>
      </c>
      <c r="BG24" s="8">
        <f t="shared" si="5"/>
        <v>10793</v>
      </c>
    </row>
    <row r="25" spans="1:59" s="7" customFormat="1" ht="12.75">
      <c r="A25" s="106"/>
      <c r="B25" s="113" t="s">
        <v>155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>
        <v>626</v>
      </c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28">
        <f t="shared" si="4"/>
        <v>626</v>
      </c>
      <c r="AY25" s="13"/>
      <c r="AZ25" s="13"/>
      <c r="BA25" s="13"/>
      <c r="BB25" s="13"/>
      <c r="BC25" s="128">
        <f>SUM(AY25:BB25)</f>
        <v>0</v>
      </c>
      <c r="BD25" s="151">
        <f t="shared" si="3"/>
        <v>626</v>
      </c>
      <c r="BE25" s="13"/>
      <c r="BF25" s="152">
        <f t="shared" si="1"/>
        <v>0</v>
      </c>
      <c r="BG25" s="8">
        <f t="shared" si="5"/>
        <v>626</v>
      </c>
    </row>
    <row r="26" spans="1:59" s="7" customFormat="1" ht="12.75">
      <c r="A26" s="103">
        <v>4</v>
      </c>
      <c r="B26" s="111" t="s">
        <v>71</v>
      </c>
      <c r="C26" s="92">
        <f>SUM(C27:C30)</f>
        <v>0</v>
      </c>
      <c r="D26" s="92">
        <f aca="true" t="shared" si="9" ref="D26:BC26">SUM(D27:D30)</f>
        <v>0</v>
      </c>
      <c r="E26" s="92">
        <f t="shared" si="9"/>
        <v>0</v>
      </c>
      <c r="F26" s="92">
        <f t="shared" si="9"/>
        <v>0</v>
      </c>
      <c r="G26" s="92"/>
      <c r="H26" s="92">
        <f t="shared" si="9"/>
        <v>0</v>
      </c>
      <c r="I26" s="92">
        <f t="shared" si="9"/>
        <v>0</v>
      </c>
      <c r="J26" s="92">
        <f t="shared" si="9"/>
        <v>0</v>
      </c>
      <c r="K26" s="92">
        <f t="shared" si="9"/>
        <v>0</v>
      </c>
      <c r="L26" s="92">
        <f t="shared" si="9"/>
        <v>21</v>
      </c>
      <c r="M26" s="92">
        <f t="shared" si="9"/>
        <v>1904</v>
      </c>
      <c r="N26" s="92">
        <f t="shared" si="9"/>
        <v>0</v>
      </c>
      <c r="O26" s="92">
        <f t="shared" si="9"/>
        <v>0</v>
      </c>
      <c r="P26" s="92">
        <f t="shared" si="9"/>
        <v>0</v>
      </c>
      <c r="Q26" s="92">
        <f t="shared" si="9"/>
        <v>0</v>
      </c>
      <c r="R26" s="92">
        <f t="shared" si="9"/>
        <v>0</v>
      </c>
      <c r="S26" s="92">
        <f t="shared" si="9"/>
        <v>0</v>
      </c>
      <c r="T26" s="92">
        <f t="shared" si="9"/>
        <v>0</v>
      </c>
      <c r="U26" s="92">
        <f t="shared" si="9"/>
        <v>0</v>
      </c>
      <c r="V26" s="92">
        <f t="shared" si="9"/>
        <v>1657</v>
      </c>
      <c r="W26" s="92">
        <f t="shared" si="9"/>
        <v>0</v>
      </c>
      <c r="X26" s="92">
        <f t="shared" si="9"/>
        <v>0</v>
      </c>
      <c r="Y26" s="92">
        <f t="shared" si="9"/>
        <v>0</v>
      </c>
      <c r="Z26" s="92">
        <f t="shared" si="9"/>
        <v>0</v>
      </c>
      <c r="AA26" s="92">
        <f t="shared" si="9"/>
        <v>0</v>
      </c>
      <c r="AB26" s="92">
        <f t="shared" si="9"/>
        <v>0</v>
      </c>
      <c r="AC26" s="92">
        <f t="shared" si="9"/>
        <v>0</v>
      </c>
      <c r="AD26" s="92">
        <f t="shared" si="9"/>
        <v>0</v>
      </c>
      <c r="AE26" s="92">
        <f t="shared" si="9"/>
        <v>0</v>
      </c>
      <c r="AF26" s="92">
        <f t="shared" si="9"/>
        <v>0</v>
      </c>
      <c r="AG26" s="92">
        <f t="shared" si="9"/>
        <v>0</v>
      </c>
      <c r="AH26" s="92">
        <f t="shared" si="9"/>
        <v>0</v>
      </c>
      <c r="AI26" s="92">
        <f t="shared" si="9"/>
        <v>0</v>
      </c>
      <c r="AJ26" s="92">
        <f t="shared" si="9"/>
        <v>0</v>
      </c>
      <c r="AK26" s="92">
        <f t="shared" si="9"/>
        <v>0</v>
      </c>
      <c r="AL26" s="92">
        <f t="shared" si="9"/>
        <v>0</v>
      </c>
      <c r="AM26" s="92">
        <f t="shared" si="9"/>
        <v>0</v>
      </c>
      <c r="AN26" s="92">
        <f t="shared" si="9"/>
        <v>0</v>
      </c>
      <c r="AO26" s="92">
        <f t="shared" si="9"/>
        <v>0</v>
      </c>
      <c r="AP26" s="92">
        <f t="shared" si="9"/>
        <v>0</v>
      </c>
      <c r="AQ26" s="92">
        <f t="shared" si="9"/>
        <v>0</v>
      </c>
      <c r="AR26" s="92">
        <f t="shared" si="9"/>
        <v>425</v>
      </c>
      <c r="AS26" s="92">
        <f t="shared" si="9"/>
        <v>0</v>
      </c>
      <c r="AT26" s="92"/>
      <c r="AU26" s="92">
        <f t="shared" si="9"/>
        <v>0</v>
      </c>
      <c r="AV26" s="92">
        <f t="shared" si="9"/>
        <v>0</v>
      </c>
      <c r="AW26" s="92">
        <f t="shared" si="9"/>
        <v>0</v>
      </c>
      <c r="AX26" s="92">
        <f t="shared" si="9"/>
        <v>4007</v>
      </c>
      <c r="AY26" s="92">
        <f t="shared" si="9"/>
        <v>0</v>
      </c>
      <c r="AZ26" s="92">
        <f t="shared" si="9"/>
        <v>408</v>
      </c>
      <c r="BA26" s="92">
        <f t="shared" si="9"/>
        <v>0</v>
      </c>
      <c r="BB26" s="92">
        <f t="shared" si="9"/>
        <v>0</v>
      </c>
      <c r="BC26" s="92">
        <f t="shared" si="9"/>
        <v>408</v>
      </c>
      <c r="BD26" s="150">
        <f t="shared" si="3"/>
        <v>4415</v>
      </c>
      <c r="BE26" s="92">
        <f>SUM(BE27:BE30)</f>
        <v>209</v>
      </c>
      <c r="BF26" s="150">
        <f t="shared" si="1"/>
        <v>209</v>
      </c>
      <c r="BG26" s="150">
        <f>BF26+BC26+AX26</f>
        <v>4624</v>
      </c>
    </row>
    <row r="27" spans="1:59" s="7" customFormat="1" ht="12.75">
      <c r="A27" s="114"/>
      <c r="B27" s="113" t="s">
        <v>156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28">
        <f t="shared" si="4"/>
        <v>0</v>
      </c>
      <c r="AY27" s="13"/>
      <c r="AZ27" s="13">
        <v>408</v>
      </c>
      <c r="BA27" s="13"/>
      <c r="BB27" s="13"/>
      <c r="BC27" s="128">
        <f>SUM(AY27:BB27)</f>
        <v>408</v>
      </c>
      <c r="BD27" s="151">
        <f t="shared" si="3"/>
        <v>408</v>
      </c>
      <c r="BE27" s="13"/>
      <c r="BF27" s="152">
        <f t="shared" si="1"/>
        <v>0</v>
      </c>
      <c r="BG27" s="8">
        <f t="shared" si="5"/>
        <v>408</v>
      </c>
    </row>
    <row r="28" spans="1:59" s="7" customFormat="1" ht="12.75">
      <c r="A28" s="115"/>
      <c r="B28" s="113" t="s">
        <v>157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28">
        <f t="shared" si="4"/>
        <v>0</v>
      </c>
      <c r="AY28" s="13"/>
      <c r="AZ28" s="13"/>
      <c r="BA28" s="13"/>
      <c r="BB28" s="13"/>
      <c r="BC28" s="128">
        <f>SUM(AY28:BB28)</f>
        <v>0</v>
      </c>
      <c r="BD28" s="151">
        <f t="shared" si="3"/>
        <v>0</v>
      </c>
      <c r="BE28" s="13">
        <v>209</v>
      </c>
      <c r="BF28" s="152">
        <f t="shared" si="1"/>
        <v>209</v>
      </c>
      <c r="BG28" s="8">
        <f t="shared" si="5"/>
        <v>209</v>
      </c>
    </row>
    <row r="29" spans="1:59" s="7" customFormat="1" ht="12.75">
      <c r="A29" s="115"/>
      <c r="B29" s="113" t="s">
        <v>158</v>
      </c>
      <c r="C29" s="13"/>
      <c r="D29" s="13"/>
      <c r="E29" s="13"/>
      <c r="F29" s="13"/>
      <c r="G29" s="13"/>
      <c r="H29" s="13"/>
      <c r="I29" s="13"/>
      <c r="J29" s="13"/>
      <c r="K29" s="13"/>
      <c r="L29" s="13">
        <v>21</v>
      </c>
      <c r="M29" s="13">
        <v>1904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>
        <v>425</v>
      </c>
      <c r="AS29" s="13"/>
      <c r="AT29" s="13"/>
      <c r="AU29" s="13"/>
      <c r="AV29" s="13"/>
      <c r="AW29" s="13"/>
      <c r="AX29" s="128">
        <f t="shared" si="4"/>
        <v>2350</v>
      </c>
      <c r="AY29" s="13"/>
      <c r="AZ29" s="13"/>
      <c r="BA29" s="13"/>
      <c r="BB29" s="13"/>
      <c r="BC29" s="128">
        <f>SUM(AY29:BB29)</f>
        <v>0</v>
      </c>
      <c r="BD29" s="151">
        <f t="shared" si="3"/>
        <v>2350</v>
      </c>
      <c r="BE29" s="13"/>
      <c r="BF29" s="152">
        <f t="shared" si="1"/>
        <v>0</v>
      </c>
      <c r="BG29" s="8">
        <f t="shared" si="5"/>
        <v>2350</v>
      </c>
    </row>
    <row r="30" spans="1:59" s="7" customFormat="1" ht="12.75">
      <c r="A30" s="116"/>
      <c r="B30" s="113" t="s">
        <v>159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>
        <v>1657</v>
      </c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28">
        <f t="shared" si="4"/>
        <v>1657</v>
      </c>
      <c r="AY30" s="13"/>
      <c r="AZ30" s="13"/>
      <c r="BA30" s="13"/>
      <c r="BB30" s="13"/>
      <c r="BC30" s="128">
        <f>SUM(AY30:BB30)</f>
        <v>0</v>
      </c>
      <c r="BD30" s="151">
        <f t="shared" si="3"/>
        <v>1657</v>
      </c>
      <c r="BE30" s="13"/>
      <c r="BF30" s="152">
        <f t="shared" si="1"/>
        <v>0</v>
      </c>
      <c r="BG30" s="8">
        <f t="shared" si="5"/>
        <v>1657</v>
      </c>
    </row>
    <row r="31" spans="1:59" s="7" customFormat="1" ht="12.75">
      <c r="A31" s="103">
        <v>5</v>
      </c>
      <c r="B31" s="111" t="s">
        <v>70</v>
      </c>
      <c r="C31" s="92">
        <f>C32</f>
        <v>0</v>
      </c>
      <c r="D31" s="92">
        <f aca="true" t="shared" si="10" ref="D31:BE31">D32</f>
        <v>0</v>
      </c>
      <c r="E31" s="92">
        <f t="shared" si="10"/>
        <v>0</v>
      </c>
      <c r="F31" s="92">
        <f t="shared" si="10"/>
        <v>0</v>
      </c>
      <c r="G31" s="92"/>
      <c r="H31" s="92">
        <f t="shared" si="10"/>
        <v>0</v>
      </c>
      <c r="I31" s="92">
        <f t="shared" si="10"/>
        <v>0</v>
      </c>
      <c r="J31" s="92">
        <f t="shared" si="10"/>
        <v>0</v>
      </c>
      <c r="K31" s="92">
        <f t="shared" si="10"/>
        <v>0</v>
      </c>
      <c r="L31" s="92">
        <f t="shared" si="10"/>
        <v>0</v>
      </c>
      <c r="M31" s="92">
        <f t="shared" si="10"/>
        <v>0</v>
      </c>
      <c r="N31" s="92">
        <f t="shared" si="10"/>
        <v>0</v>
      </c>
      <c r="O31" s="92">
        <f t="shared" si="10"/>
        <v>0</v>
      </c>
      <c r="P31" s="92">
        <f t="shared" si="10"/>
        <v>0</v>
      </c>
      <c r="Q31" s="92">
        <f t="shared" si="10"/>
        <v>0</v>
      </c>
      <c r="R31" s="92">
        <f t="shared" si="10"/>
        <v>0</v>
      </c>
      <c r="S31" s="92">
        <f t="shared" si="10"/>
        <v>0</v>
      </c>
      <c r="T31" s="92">
        <f t="shared" si="10"/>
        <v>0</v>
      </c>
      <c r="U31" s="92">
        <f t="shared" si="10"/>
        <v>0</v>
      </c>
      <c r="V31" s="92">
        <f t="shared" si="10"/>
        <v>0</v>
      </c>
      <c r="W31" s="92">
        <f t="shared" si="10"/>
        <v>0</v>
      </c>
      <c r="X31" s="92">
        <f t="shared" si="10"/>
        <v>0</v>
      </c>
      <c r="Y31" s="92">
        <f t="shared" si="10"/>
        <v>0</v>
      </c>
      <c r="Z31" s="92">
        <f t="shared" si="10"/>
        <v>0</v>
      </c>
      <c r="AA31" s="92">
        <f t="shared" si="10"/>
        <v>0</v>
      </c>
      <c r="AB31" s="92">
        <f t="shared" si="10"/>
        <v>0</v>
      </c>
      <c r="AC31" s="92">
        <f t="shared" si="10"/>
        <v>0</v>
      </c>
      <c r="AD31" s="92">
        <f t="shared" si="10"/>
        <v>0</v>
      </c>
      <c r="AE31" s="92">
        <f t="shared" si="10"/>
        <v>0</v>
      </c>
      <c r="AF31" s="92">
        <f t="shared" si="10"/>
        <v>0</v>
      </c>
      <c r="AG31" s="92">
        <f t="shared" si="10"/>
        <v>0</v>
      </c>
      <c r="AH31" s="92">
        <f t="shared" si="10"/>
        <v>0</v>
      </c>
      <c r="AI31" s="92">
        <f t="shared" si="10"/>
        <v>0</v>
      </c>
      <c r="AJ31" s="92">
        <f t="shared" si="10"/>
        <v>0</v>
      </c>
      <c r="AK31" s="92">
        <f t="shared" si="10"/>
        <v>0</v>
      </c>
      <c r="AL31" s="92">
        <f t="shared" si="10"/>
        <v>0</v>
      </c>
      <c r="AM31" s="92">
        <f t="shared" si="10"/>
        <v>0</v>
      </c>
      <c r="AN31" s="92">
        <f t="shared" si="10"/>
        <v>0</v>
      </c>
      <c r="AO31" s="92">
        <f t="shared" si="10"/>
        <v>0</v>
      </c>
      <c r="AP31" s="92">
        <f t="shared" si="10"/>
        <v>0</v>
      </c>
      <c r="AQ31" s="92">
        <f t="shared" si="10"/>
        <v>0</v>
      </c>
      <c r="AR31" s="92">
        <f t="shared" si="10"/>
        <v>0</v>
      </c>
      <c r="AS31" s="92">
        <f t="shared" si="10"/>
        <v>0</v>
      </c>
      <c r="AT31" s="92"/>
      <c r="AU31" s="92">
        <f t="shared" si="10"/>
        <v>0</v>
      </c>
      <c r="AV31" s="92">
        <f t="shared" si="10"/>
        <v>0</v>
      </c>
      <c r="AW31" s="92">
        <f t="shared" si="10"/>
        <v>237</v>
      </c>
      <c r="AX31" s="92">
        <f t="shared" si="10"/>
        <v>237</v>
      </c>
      <c r="AY31" s="92">
        <f t="shared" si="10"/>
        <v>0</v>
      </c>
      <c r="AZ31" s="92">
        <f t="shared" si="10"/>
        <v>0</v>
      </c>
      <c r="BA31" s="92">
        <f t="shared" si="10"/>
        <v>0</v>
      </c>
      <c r="BB31" s="92">
        <f t="shared" si="10"/>
        <v>0</v>
      </c>
      <c r="BC31" s="92">
        <f t="shared" si="10"/>
        <v>0</v>
      </c>
      <c r="BD31" s="150">
        <f t="shared" si="3"/>
        <v>237</v>
      </c>
      <c r="BE31" s="92">
        <f t="shared" si="10"/>
        <v>0</v>
      </c>
      <c r="BF31" s="150">
        <f t="shared" si="1"/>
        <v>0</v>
      </c>
      <c r="BG31" s="150">
        <f>BF31+BC31+AX31</f>
        <v>237</v>
      </c>
    </row>
    <row r="32" spans="1:59" s="7" customFormat="1" ht="12.75">
      <c r="A32" s="117"/>
      <c r="B32" s="113" t="s">
        <v>160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>
        <v>237</v>
      </c>
      <c r="AX32" s="128">
        <f t="shared" si="4"/>
        <v>237</v>
      </c>
      <c r="AY32" s="13"/>
      <c r="AZ32" s="13"/>
      <c r="BA32" s="13"/>
      <c r="BB32" s="13"/>
      <c r="BC32" s="128">
        <f>SUM(AY32:BB32)</f>
        <v>0</v>
      </c>
      <c r="BD32" s="151">
        <f t="shared" si="3"/>
        <v>237</v>
      </c>
      <c r="BE32" s="13"/>
      <c r="BF32" s="152">
        <f t="shared" si="1"/>
        <v>0</v>
      </c>
      <c r="BG32" s="8">
        <f t="shared" si="5"/>
        <v>237</v>
      </c>
    </row>
    <row r="33" spans="1:59" s="7" customFormat="1" ht="12.75">
      <c r="A33" s="103">
        <v>6</v>
      </c>
      <c r="B33" s="118" t="s">
        <v>68</v>
      </c>
      <c r="C33" s="92">
        <f>C34</f>
        <v>0</v>
      </c>
      <c r="D33" s="92">
        <f aca="true" t="shared" si="11" ref="D33:BE33">D34</f>
        <v>0</v>
      </c>
      <c r="E33" s="92">
        <f t="shared" si="11"/>
        <v>0</v>
      </c>
      <c r="F33" s="92">
        <f t="shared" si="11"/>
        <v>0</v>
      </c>
      <c r="G33" s="92"/>
      <c r="H33" s="92">
        <f t="shared" si="11"/>
        <v>0</v>
      </c>
      <c r="I33" s="92">
        <f t="shared" si="11"/>
        <v>0</v>
      </c>
      <c r="J33" s="92">
        <f t="shared" si="11"/>
        <v>0</v>
      </c>
      <c r="K33" s="92">
        <f t="shared" si="11"/>
        <v>0</v>
      </c>
      <c r="L33" s="92">
        <f t="shared" si="11"/>
        <v>0</v>
      </c>
      <c r="M33" s="92">
        <f t="shared" si="11"/>
        <v>2282</v>
      </c>
      <c r="N33" s="92">
        <f t="shared" si="11"/>
        <v>0</v>
      </c>
      <c r="O33" s="92">
        <f t="shared" si="11"/>
        <v>0</v>
      </c>
      <c r="P33" s="92">
        <f t="shared" si="11"/>
        <v>0</v>
      </c>
      <c r="Q33" s="92">
        <f t="shared" si="11"/>
        <v>0</v>
      </c>
      <c r="R33" s="92">
        <f t="shared" si="11"/>
        <v>0</v>
      </c>
      <c r="S33" s="92">
        <f t="shared" si="11"/>
        <v>0</v>
      </c>
      <c r="T33" s="92">
        <f t="shared" si="11"/>
        <v>0</v>
      </c>
      <c r="U33" s="92">
        <f t="shared" si="11"/>
        <v>0</v>
      </c>
      <c r="V33" s="92">
        <f t="shared" si="11"/>
        <v>0</v>
      </c>
      <c r="W33" s="92">
        <f t="shared" si="11"/>
        <v>0</v>
      </c>
      <c r="X33" s="92">
        <f t="shared" si="11"/>
        <v>0</v>
      </c>
      <c r="Y33" s="92">
        <f t="shared" si="11"/>
        <v>0</v>
      </c>
      <c r="Z33" s="92">
        <f t="shared" si="11"/>
        <v>0</v>
      </c>
      <c r="AA33" s="92">
        <f t="shared" si="11"/>
        <v>0</v>
      </c>
      <c r="AB33" s="92">
        <f t="shared" si="11"/>
        <v>0</v>
      </c>
      <c r="AC33" s="92">
        <f t="shared" si="11"/>
        <v>0</v>
      </c>
      <c r="AD33" s="92">
        <f t="shared" si="11"/>
        <v>0</v>
      </c>
      <c r="AE33" s="92">
        <f t="shared" si="11"/>
        <v>0</v>
      </c>
      <c r="AF33" s="92">
        <f t="shared" si="11"/>
        <v>0</v>
      </c>
      <c r="AG33" s="92">
        <f t="shared" si="11"/>
        <v>0</v>
      </c>
      <c r="AH33" s="92">
        <f t="shared" si="11"/>
        <v>0</v>
      </c>
      <c r="AI33" s="92">
        <f t="shared" si="11"/>
        <v>0</v>
      </c>
      <c r="AJ33" s="92">
        <f t="shared" si="11"/>
        <v>0</v>
      </c>
      <c r="AK33" s="92">
        <f t="shared" si="11"/>
        <v>0</v>
      </c>
      <c r="AL33" s="92">
        <f t="shared" si="11"/>
        <v>0</v>
      </c>
      <c r="AM33" s="92">
        <f t="shared" si="11"/>
        <v>0</v>
      </c>
      <c r="AN33" s="92">
        <f t="shared" si="11"/>
        <v>0</v>
      </c>
      <c r="AO33" s="92">
        <f t="shared" si="11"/>
        <v>0</v>
      </c>
      <c r="AP33" s="92">
        <f t="shared" si="11"/>
        <v>0</v>
      </c>
      <c r="AQ33" s="92">
        <f t="shared" si="11"/>
        <v>0</v>
      </c>
      <c r="AR33" s="92">
        <f t="shared" si="11"/>
        <v>0</v>
      </c>
      <c r="AS33" s="92">
        <f t="shared" si="11"/>
        <v>0</v>
      </c>
      <c r="AT33" s="92"/>
      <c r="AU33" s="92">
        <f t="shared" si="11"/>
        <v>0</v>
      </c>
      <c r="AV33" s="92">
        <f t="shared" si="11"/>
        <v>0</v>
      </c>
      <c r="AW33" s="92">
        <f t="shared" si="11"/>
        <v>0</v>
      </c>
      <c r="AX33" s="92">
        <f t="shared" si="11"/>
        <v>2282</v>
      </c>
      <c r="AY33" s="92">
        <f t="shared" si="11"/>
        <v>0</v>
      </c>
      <c r="AZ33" s="92">
        <f t="shared" si="11"/>
        <v>0</v>
      </c>
      <c r="BA33" s="92">
        <f t="shared" si="11"/>
        <v>0</v>
      </c>
      <c r="BB33" s="92">
        <f t="shared" si="11"/>
        <v>0</v>
      </c>
      <c r="BC33" s="92">
        <f t="shared" si="11"/>
        <v>0</v>
      </c>
      <c r="BD33" s="150">
        <f t="shared" si="3"/>
        <v>2282</v>
      </c>
      <c r="BE33" s="92">
        <f t="shared" si="11"/>
        <v>0</v>
      </c>
      <c r="BF33" s="150">
        <f t="shared" si="1"/>
        <v>0</v>
      </c>
      <c r="BG33" s="150">
        <f>BF33+BC33+AX33</f>
        <v>2282</v>
      </c>
    </row>
    <row r="34" spans="1:59" s="7" customFormat="1" ht="12.75">
      <c r="A34" s="117"/>
      <c r="B34" s="113" t="s">
        <v>161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>
        <v>2282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28">
        <f t="shared" si="4"/>
        <v>2282</v>
      </c>
      <c r="AY34" s="13"/>
      <c r="AZ34" s="13"/>
      <c r="BA34" s="13"/>
      <c r="BB34" s="13"/>
      <c r="BC34" s="128">
        <f>SUM(AY34:BB34)</f>
        <v>0</v>
      </c>
      <c r="BD34" s="151">
        <f t="shared" si="3"/>
        <v>2282</v>
      </c>
      <c r="BE34" s="13"/>
      <c r="BF34" s="152">
        <f t="shared" si="1"/>
        <v>0</v>
      </c>
      <c r="BG34" s="8">
        <f t="shared" si="5"/>
        <v>2282</v>
      </c>
    </row>
    <row r="35" spans="1:59" s="7" customFormat="1" ht="12.75">
      <c r="A35" s="103">
        <v>7</v>
      </c>
      <c r="B35" s="111" t="s">
        <v>63</v>
      </c>
      <c r="C35" s="92">
        <f>C36</f>
        <v>0</v>
      </c>
      <c r="D35" s="92">
        <f aca="true" t="shared" si="12" ref="D35:BE35">D36</f>
        <v>0</v>
      </c>
      <c r="E35" s="92">
        <f t="shared" si="12"/>
        <v>0</v>
      </c>
      <c r="F35" s="92">
        <f t="shared" si="12"/>
        <v>0</v>
      </c>
      <c r="G35" s="92"/>
      <c r="H35" s="92">
        <f t="shared" si="12"/>
        <v>0</v>
      </c>
      <c r="I35" s="92">
        <f t="shared" si="12"/>
        <v>0</v>
      </c>
      <c r="J35" s="92">
        <f t="shared" si="12"/>
        <v>0</v>
      </c>
      <c r="K35" s="92">
        <f t="shared" si="12"/>
        <v>0</v>
      </c>
      <c r="L35" s="92">
        <f t="shared" si="12"/>
        <v>0</v>
      </c>
      <c r="M35" s="92">
        <f t="shared" si="12"/>
        <v>0</v>
      </c>
      <c r="N35" s="92">
        <f t="shared" si="12"/>
        <v>0</v>
      </c>
      <c r="O35" s="92">
        <f t="shared" si="12"/>
        <v>0</v>
      </c>
      <c r="P35" s="92">
        <f t="shared" si="12"/>
        <v>0</v>
      </c>
      <c r="Q35" s="92">
        <f t="shared" si="12"/>
        <v>0</v>
      </c>
      <c r="R35" s="92">
        <f t="shared" si="12"/>
        <v>0</v>
      </c>
      <c r="S35" s="92">
        <f t="shared" si="12"/>
        <v>0</v>
      </c>
      <c r="T35" s="92">
        <f t="shared" si="12"/>
        <v>0</v>
      </c>
      <c r="U35" s="92">
        <f t="shared" si="12"/>
        <v>0</v>
      </c>
      <c r="V35" s="92">
        <f t="shared" si="12"/>
        <v>0</v>
      </c>
      <c r="W35" s="92">
        <f t="shared" si="12"/>
        <v>0</v>
      </c>
      <c r="X35" s="92">
        <f t="shared" si="12"/>
        <v>0</v>
      </c>
      <c r="Y35" s="92">
        <f t="shared" si="12"/>
        <v>0</v>
      </c>
      <c r="Z35" s="92">
        <f t="shared" si="12"/>
        <v>0</v>
      </c>
      <c r="AA35" s="92">
        <f t="shared" si="12"/>
        <v>0</v>
      </c>
      <c r="AB35" s="92">
        <f t="shared" si="12"/>
        <v>0</v>
      </c>
      <c r="AC35" s="92">
        <f t="shared" si="12"/>
        <v>0</v>
      </c>
      <c r="AD35" s="92">
        <f t="shared" si="12"/>
        <v>0</v>
      </c>
      <c r="AE35" s="92">
        <f t="shared" si="12"/>
        <v>0</v>
      </c>
      <c r="AF35" s="92">
        <f t="shared" si="12"/>
        <v>0</v>
      </c>
      <c r="AG35" s="92">
        <f t="shared" si="12"/>
        <v>0</v>
      </c>
      <c r="AH35" s="92">
        <f t="shared" si="12"/>
        <v>0</v>
      </c>
      <c r="AI35" s="92">
        <f t="shared" si="12"/>
        <v>0</v>
      </c>
      <c r="AJ35" s="92">
        <f t="shared" si="12"/>
        <v>0</v>
      </c>
      <c r="AK35" s="92">
        <f t="shared" si="12"/>
        <v>0</v>
      </c>
      <c r="AL35" s="92">
        <f t="shared" si="12"/>
        <v>0</v>
      </c>
      <c r="AM35" s="92">
        <f t="shared" si="12"/>
        <v>0</v>
      </c>
      <c r="AN35" s="92">
        <f t="shared" si="12"/>
        <v>0</v>
      </c>
      <c r="AO35" s="92">
        <f t="shared" si="12"/>
        <v>0</v>
      </c>
      <c r="AP35" s="92">
        <f t="shared" si="12"/>
        <v>0</v>
      </c>
      <c r="AQ35" s="92">
        <f t="shared" si="12"/>
        <v>0</v>
      </c>
      <c r="AR35" s="92">
        <f t="shared" si="12"/>
        <v>0</v>
      </c>
      <c r="AS35" s="92">
        <f t="shared" si="12"/>
        <v>0</v>
      </c>
      <c r="AT35" s="92"/>
      <c r="AU35" s="92">
        <f t="shared" si="12"/>
        <v>0</v>
      </c>
      <c r="AV35" s="92">
        <f t="shared" si="12"/>
        <v>0</v>
      </c>
      <c r="AW35" s="92">
        <f t="shared" si="12"/>
        <v>0</v>
      </c>
      <c r="AX35" s="92">
        <f t="shared" si="12"/>
        <v>0</v>
      </c>
      <c r="AY35" s="92">
        <f t="shared" si="12"/>
        <v>0</v>
      </c>
      <c r="AZ35" s="92">
        <f t="shared" si="12"/>
        <v>0</v>
      </c>
      <c r="BA35" s="92">
        <f t="shared" si="12"/>
        <v>0</v>
      </c>
      <c r="BB35" s="92">
        <f t="shared" si="12"/>
        <v>0</v>
      </c>
      <c r="BC35" s="92">
        <f t="shared" si="12"/>
        <v>0</v>
      </c>
      <c r="BD35" s="150">
        <f t="shared" si="3"/>
        <v>0</v>
      </c>
      <c r="BE35" s="92">
        <f t="shared" si="12"/>
        <v>0</v>
      </c>
      <c r="BF35" s="150">
        <f t="shared" si="1"/>
        <v>0</v>
      </c>
      <c r="BG35" s="150">
        <f>BF35+BC35+AX35</f>
        <v>0</v>
      </c>
    </row>
    <row r="36" spans="1:59" s="7" customFormat="1" ht="12.75">
      <c r="A36" s="117"/>
      <c r="B36" s="113" t="s">
        <v>162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28">
        <f t="shared" si="4"/>
        <v>0</v>
      </c>
      <c r="AY36" s="13"/>
      <c r="AZ36" s="13"/>
      <c r="BA36" s="13"/>
      <c r="BB36" s="13"/>
      <c r="BC36" s="128">
        <f>SUM(AY36:BB36)</f>
        <v>0</v>
      </c>
      <c r="BD36" s="153">
        <f t="shared" si="3"/>
        <v>0</v>
      </c>
      <c r="BE36" s="13"/>
      <c r="BF36" s="154">
        <f t="shared" si="1"/>
        <v>0</v>
      </c>
      <c r="BG36" s="8">
        <f t="shared" si="5"/>
        <v>0</v>
      </c>
    </row>
    <row r="37" spans="1:59" s="7" customFormat="1" ht="15.75">
      <c r="A37" s="99" t="s">
        <v>79</v>
      </c>
      <c r="B37" s="10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102"/>
      <c r="AY37" s="29"/>
      <c r="AZ37" s="29"/>
      <c r="BA37" s="29"/>
      <c r="BB37" s="29"/>
      <c r="BC37" s="102"/>
      <c r="BD37" s="147">
        <f t="shared" si="3"/>
        <v>0</v>
      </c>
      <c r="BE37" s="29"/>
      <c r="BF37" s="147"/>
      <c r="BG37" s="155"/>
    </row>
    <row r="38" spans="1:59" s="7" customFormat="1" ht="12.75">
      <c r="A38" s="103">
        <v>8</v>
      </c>
      <c r="B38" s="108" t="s">
        <v>73</v>
      </c>
      <c r="C38" s="92">
        <f>C39</f>
        <v>0</v>
      </c>
      <c r="D38" s="92">
        <f aca="true" t="shared" si="13" ref="D38:BE38">D39</f>
        <v>0</v>
      </c>
      <c r="E38" s="92">
        <f t="shared" si="13"/>
        <v>0</v>
      </c>
      <c r="F38" s="92">
        <f t="shared" si="13"/>
        <v>0</v>
      </c>
      <c r="G38" s="92"/>
      <c r="H38" s="92">
        <f t="shared" si="13"/>
        <v>0</v>
      </c>
      <c r="I38" s="92">
        <f t="shared" si="13"/>
        <v>0</v>
      </c>
      <c r="J38" s="92">
        <f t="shared" si="13"/>
        <v>0</v>
      </c>
      <c r="K38" s="92">
        <f t="shared" si="13"/>
        <v>0</v>
      </c>
      <c r="L38" s="92">
        <f t="shared" si="13"/>
        <v>0</v>
      </c>
      <c r="M38" s="92">
        <f t="shared" si="13"/>
        <v>70</v>
      </c>
      <c r="N38" s="92">
        <f t="shared" si="13"/>
        <v>0</v>
      </c>
      <c r="O38" s="92">
        <f t="shared" si="13"/>
        <v>0</v>
      </c>
      <c r="P38" s="92">
        <f t="shared" si="13"/>
        <v>0</v>
      </c>
      <c r="Q38" s="92">
        <f t="shared" si="13"/>
        <v>0</v>
      </c>
      <c r="R38" s="92">
        <f t="shared" si="13"/>
        <v>0</v>
      </c>
      <c r="S38" s="92">
        <f t="shared" si="13"/>
        <v>0</v>
      </c>
      <c r="T38" s="92">
        <f t="shared" si="13"/>
        <v>0</v>
      </c>
      <c r="U38" s="92">
        <f t="shared" si="13"/>
        <v>0</v>
      </c>
      <c r="V38" s="92">
        <f t="shared" si="13"/>
        <v>0</v>
      </c>
      <c r="W38" s="92">
        <f t="shared" si="13"/>
        <v>0</v>
      </c>
      <c r="X38" s="92">
        <f t="shared" si="13"/>
        <v>0</v>
      </c>
      <c r="Y38" s="92">
        <f t="shared" si="13"/>
        <v>0</v>
      </c>
      <c r="Z38" s="92">
        <f t="shared" si="13"/>
        <v>0</v>
      </c>
      <c r="AA38" s="92">
        <f t="shared" si="13"/>
        <v>0</v>
      </c>
      <c r="AB38" s="92">
        <f t="shared" si="13"/>
        <v>0</v>
      </c>
      <c r="AC38" s="92">
        <f t="shared" si="13"/>
        <v>0</v>
      </c>
      <c r="AD38" s="92">
        <f t="shared" si="13"/>
        <v>0</v>
      </c>
      <c r="AE38" s="92">
        <f t="shared" si="13"/>
        <v>0</v>
      </c>
      <c r="AF38" s="92">
        <f t="shared" si="13"/>
        <v>0</v>
      </c>
      <c r="AG38" s="92">
        <f t="shared" si="13"/>
        <v>0</v>
      </c>
      <c r="AH38" s="92">
        <f t="shared" si="13"/>
        <v>0</v>
      </c>
      <c r="AI38" s="92">
        <f t="shared" si="13"/>
        <v>0</v>
      </c>
      <c r="AJ38" s="92">
        <f t="shared" si="13"/>
        <v>0</v>
      </c>
      <c r="AK38" s="92">
        <f t="shared" si="13"/>
        <v>0</v>
      </c>
      <c r="AL38" s="92">
        <f t="shared" si="13"/>
        <v>0</v>
      </c>
      <c r="AM38" s="92">
        <f t="shared" si="13"/>
        <v>0</v>
      </c>
      <c r="AN38" s="92">
        <f t="shared" si="13"/>
        <v>0</v>
      </c>
      <c r="AO38" s="92">
        <f t="shared" si="13"/>
        <v>0</v>
      </c>
      <c r="AP38" s="92">
        <f t="shared" si="13"/>
        <v>0</v>
      </c>
      <c r="AQ38" s="92">
        <f t="shared" si="13"/>
        <v>0</v>
      </c>
      <c r="AR38" s="92">
        <f t="shared" si="13"/>
        <v>0</v>
      </c>
      <c r="AS38" s="92">
        <f t="shared" si="13"/>
        <v>0</v>
      </c>
      <c r="AT38" s="92"/>
      <c r="AU38" s="92">
        <f t="shared" si="13"/>
        <v>0</v>
      </c>
      <c r="AV38" s="92">
        <f t="shared" si="13"/>
        <v>0</v>
      </c>
      <c r="AW38" s="92">
        <f t="shared" si="13"/>
        <v>0</v>
      </c>
      <c r="AX38" s="92">
        <f t="shared" si="13"/>
        <v>70</v>
      </c>
      <c r="AY38" s="92">
        <f t="shared" si="13"/>
        <v>0</v>
      </c>
      <c r="AZ38" s="92">
        <f t="shared" si="13"/>
        <v>0</v>
      </c>
      <c r="BA38" s="92">
        <f t="shared" si="13"/>
        <v>0</v>
      </c>
      <c r="BB38" s="92">
        <f t="shared" si="13"/>
        <v>0</v>
      </c>
      <c r="BC38" s="92">
        <f t="shared" si="13"/>
        <v>0</v>
      </c>
      <c r="BD38" s="150">
        <f t="shared" si="3"/>
        <v>70</v>
      </c>
      <c r="BE38" s="92">
        <f t="shared" si="13"/>
        <v>0</v>
      </c>
      <c r="BF38" s="150">
        <f>BE38</f>
        <v>0</v>
      </c>
      <c r="BG38" s="150">
        <f>BF38+BC38+AX38</f>
        <v>70</v>
      </c>
    </row>
    <row r="39" spans="1:59" s="7" customFormat="1" ht="12.75">
      <c r="A39" s="109"/>
      <c r="B39" s="119" t="s">
        <v>163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>
        <v>70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28">
        <f>SUM(C39:AW39)</f>
        <v>70</v>
      </c>
      <c r="AY39" s="13"/>
      <c r="AZ39" s="13"/>
      <c r="BA39" s="13"/>
      <c r="BB39" s="13"/>
      <c r="BC39" s="128">
        <f>SUM(AY39:BB39)</f>
        <v>0</v>
      </c>
      <c r="BD39" s="151">
        <f t="shared" si="3"/>
        <v>70</v>
      </c>
      <c r="BE39" s="13"/>
      <c r="BF39" s="152">
        <f>BE39</f>
        <v>0</v>
      </c>
      <c r="BG39" s="8">
        <f>BD39+BF39</f>
        <v>70</v>
      </c>
    </row>
    <row r="40" spans="1:59" s="7" customFormat="1" ht="12.75">
      <c r="A40" s="103">
        <v>9</v>
      </c>
      <c r="B40" s="108" t="s">
        <v>80</v>
      </c>
      <c r="C40" s="92">
        <f>C41</f>
        <v>0</v>
      </c>
      <c r="D40" s="92">
        <f aca="true" t="shared" si="14" ref="D40:BE40">D41</f>
        <v>0</v>
      </c>
      <c r="E40" s="92">
        <f t="shared" si="14"/>
        <v>0</v>
      </c>
      <c r="F40" s="92">
        <f t="shared" si="14"/>
        <v>0</v>
      </c>
      <c r="G40" s="92"/>
      <c r="H40" s="92">
        <f t="shared" si="14"/>
        <v>0</v>
      </c>
      <c r="I40" s="92">
        <f t="shared" si="14"/>
        <v>0</v>
      </c>
      <c r="J40" s="92">
        <f t="shared" si="14"/>
        <v>0</v>
      </c>
      <c r="K40" s="92">
        <f t="shared" si="14"/>
        <v>0</v>
      </c>
      <c r="L40" s="92">
        <f t="shared" si="14"/>
        <v>0</v>
      </c>
      <c r="M40" s="92">
        <f t="shared" si="14"/>
        <v>38538</v>
      </c>
      <c r="N40" s="92">
        <f t="shared" si="14"/>
        <v>0</v>
      </c>
      <c r="O40" s="92">
        <f t="shared" si="14"/>
        <v>0</v>
      </c>
      <c r="P40" s="92">
        <f t="shared" si="14"/>
        <v>0</v>
      </c>
      <c r="Q40" s="92">
        <f t="shared" si="14"/>
        <v>0</v>
      </c>
      <c r="R40" s="92">
        <f t="shared" si="14"/>
        <v>0</v>
      </c>
      <c r="S40" s="92">
        <f t="shared" si="14"/>
        <v>0</v>
      </c>
      <c r="T40" s="92">
        <f t="shared" si="14"/>
        <v>0</v>
      </c>
      <c r="U40" s="92">
        <f t="shared" si="14"/>
        <v>0</v>
      </c>
      <c r="V40" s="92">
        <f t="shared" si="14"/>
        <v>0</v>
      </c>
      <c r="W40" s="92">
        <f t="shared" si="14"/>
        <v>0</v>
      </c>
      <c r="X40" s="92">
        <f t="shared" si="14"/>
        <v>0</v>
      </c>
      <c r="Y40" s="92">
        <f t="shared" si="14"/>
        <v>0</v>
      </c>
      <c r="Z40" s="92">
        <f t="shared" si="14"/>
        <v>0</v>
      </c>
      <c r="AA40" s="92">
        <f t="shared" si="14"/>
        <v>0</v>
      </c>
      <c r="AB40" s="92">
        <f t="shared" si="14"/>
        <v>0</v>
      </c>
      <c r="AC40" s="92">
        <f t="shared" si="14"/>
        <v>0</v>
      </c>
      <c r="AD40" s="92">
        <f t="shared" si="14"/>
        <v>0</v>
      </c>
      <c r="AE40" s="92">
        <f t="shared" si="14"/>
        <v>0</v>
      </c>
      <c r="AF40" s="92">
        <f t="shared" si="14"/>
        <v>0</v>
      </c>
      <c r="AG40" s="92">
        <f t="shared" si="14"/>
        <v>0</v>
      </c>
      <c r="AH40" s="92">
        <f t="shared" si="14"/>
        <v>0</v>
      </c>
      <c r="AI40" s="92">
        <f t="shared" si="14"/>
        <v>0</v>
      </c>
      <c r="AJ40" s="92">
        <f t="shared" si="14"/>
        <v>0</v>
      </c>
      <c r="AK40" s="92">
        <f t="shared" si="14"/>
        <v>0</v>
      </c>
      <c r="AL40" s="92">
        <f t="shared" si="14"/>
        <v>0</v>
      </c>
      <c r="AM40" s="92">
        <f t="shared" si="14"/>
        <v>0</v>
      </c>
      <c r="AN40" s="92">
        <f t="shared" si="14"/>
        <v>0</v>
      </c>
      <c r="AO40" s="92">
        <f t="shared" si="14"/>
        <v>0</v>
      </c>
      <c r="AP40" s="92">
        <f t="shared" si="14"/>
        <v>0</v>
      </c>
      <c r="AQ40" s="92">
        <f t="shared" si="14"/>
        <v>0</v>
      </c>
      <c r="AR40" s="92">
        <f t="shared" si="14"/>
        <v>0</v>
      </c>
      <c r="AS40" s="92">
        <f t="shared" si="14"/>
        <v>0</v>
      </c>
      <c r="AT40" s="92"/>
      <c r="AU40" s="92">
        <f t="shared" si="14"/>
        <v>0</v>
      </c>
      <c r="AV40" s="92">
        <f t="shared" si="14"/>
        <v>0</v>
      </c>
      <c r="AW40" s="92">
        <f t="shared" si="14"/>
        <v>0</v>
      </c>
      <c r="AX40" s="92">
        <f t="shared" si="14"/>
        <v>38538</v>
      </c>
      <c r="AY40" s="92">
        <f t="shared" si="14"/>
        <v>0</v>
      </c>
      <c r="AZ40" s="92">
        <f t="shared" si="14"/>
        <v>0</v>
      </c>
      <c r="BA40" s="92">
        <f t="shared" si="14"/>
        <v>0</v>
      </c>
      <c r="BB40" s="92">
        <f t="shared" si="14"/>
        <v>0</v>
      </c>
      <c r="BC40" s="92">
        <f t="shared" si="14"/>
        <v>0</v>
      </c>
      <c r="BD40" s="150">
        <f t="shared" si="3"/>
        <v>38538</v>
      </c>
      <c r="BE40" s="92">
        <f t="shared" si="14"/>
        <v>0</v>
      </c>
      <c r="BF40" s="150">
        <f>BE40</f>
        <v>0</v>
      </c>
      <c r="BG40" s="150">
        <f>BF40+BC40+AX40</f>
        <v>38538</v>
      </c>
    </row>
    <row r="41" spans="1:59" s="7" customFormat="1" ht="12.75">
      <c r="A41" s="106"/>
      <c r="B41" s="120" t="s">
        <v>164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>
        <v>38538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28">
        <f>SUM(C41:AW41)</f>
        <v>38538</v>
      </c>
      <c r="AY41" s="13"/>
      <c r="AZ41" s="13"/>
      <c r="BA41" s="13"/>
      <c r="BB41" s="13"/>
      <c r="BC41" s="128">
        <f>SUM(AY41:BB41)</f>
        <v>0</v>
      </c>
      <c r="BD41" s="151">
        <f t="shared" si="3"/>
        <v>38538</v>
      </c>
      <c r="BE41" s="13"/>
      <c r="BF41" s="152">
        <f>BE41</f>
        <v>0</v>
      </c>
      <c r="BG41" s="8">
        <f>BD41+BF41</f>
        <v>38538</v>
      </c>
    </row>
    <row r="42" spans="1:59" s="11" customFormat="1" ht="12.75">
      <c r="A42" s="103">
        <v>10</v>
      </c>
      <c r="B42" s="111" t="s">
        <v>214</v>
      </c>
      <c r="C42" s="92">
        <f>C43</f>
        <v>0</v>
      </c>
      <c r="D42" s="92">
        <f aca="true" t="shared" si="15" ref="D42:BE42">D43</f>
        <v>0</v>
      </c>
      <c r="E42" s="92">
        <f t="shared" si="15"/>
        <v>0</v>
      </c>
      <c r="F42" s="92">
        <f t="shared" si="15"/>
        <v>0</v>
      </c>
      <c r="G42" s="92"/>
      <c r="H42" s="92">
        <f t="shared" si="15"/>
        <v>0</v>
      </c>
      <c r="I42" s="92">
        <f t="shared" si="15"/>
        <v>0</v>
      </c>
      <c r="J42" s="92">
        <f t="shared" si="15"/>
        <v>0</v>
      </c>
      <c r="K42" s="92">
        <f t="shared" si="15"/>
        <v>0</v>
      </c>
      <c r="L42" s="92">
        <f t="shared" si="15"/>
        <v>0</v>
      </c>
      <c r="M42" s="92">
        <f t="shared" si="15"/>
        <v>0</v>
      </c>
      <c r="N42" s="92">
        <f t="shared" si="15"/>
        <v>0</v>
      </c>
      <c r="O42" s="92">
        <f t="shared" si="15"/>
        <v>0</v>
      </c>
      <c r="P42" s="92">
        <f t="shared" si="15"/>
        <v>0</v>
      </c>
      <c r="Q42" s="92">
        <f t="shared" si="15"/>
        <v>0</v>
      </c>
      <c r="R42" s="92">
        <f t="shared" si="15"/>
        <v>3497</v>
      </c>
      <c r="S42" s="92">
        <f t="shared" si="15"/>
        <v>0</v>
      </c>
      <c r="T42" s="92">
        <f t="shared" si="15"/>
        <v>0</v>
      </c>
      <c r="U42" s="92">
        <f t="shared" si="15"/>
        <v>0</v>
      </c>
      <c r="V42" s="92">
        <f t="shared" si="15"/>
        <v>0</v>
      </c>
      <c r="W42" s="92">
        <f t="shared" si="15"/>
        <v>0</v>
      </c>
      <c r="X42" s="92">
        <f t="shared" si="15"/>
        <v>0</v>
      </c>
      <c r="Y42" s="92">
        <f t="shared" si="15"/>
        <v>0</v>
      </c>
      <c r="Z42" s="92">
        <f t="shared" si="15"/>
        <v>0</v>
      </c>
      <c r="AA42" s="92">
        <f t="shared" si="15"/>
        <v>0</v>
      </c>
      <c r="AB42" s="92">
        <f t="shared" si="15"/>
        <v>0</v>
      </c>
      <c r="AC42" s="92">
        <f t="shared" si="15"/>
        <v>0</v>
      </c>
      <c r="AD42" s="92">
        <f t="shared" si="15"/>
        <v>0</v>
      </c>
      <c r="AE42" s="92">
        <f t="shared" si="15"/>
        <v>0</v>
      </c>
      <c r="AF42" s="92">
        <f t="shared" si="15"/>
        <v>0</v>
      </c>
      <c r="AG42" s="92">
        <f t="shared" si="15"/>
        <v>0</v>
      </c>
      <c r="AH42" s="92">
        <f t="shared" si="15"/>
        <v>0</v>
      </c>
      <c r="AI42" s="92">
        <f t="shared" si="15"/>
        <v>0</v>
      </c>
      <c r="AJ42" s="92">
        <f t="shared" si="15"/>
        <v>0</v>
      </c>
      <c r="AK42" s="92">
        <f t="shared" si="15"/>
        <v>0</v>
      </c>
      <c r="AL42" s="92">
        <f t="shared" si="15"/>
        <v>0</v>
      </c>
      <c r="AM42" s="92">
        <f t="shared" si="15"/>
        <v>0</v>
      </c>
      <c r="AN42" s="92">
        <f t="shared" si="15"/>
        <v>0</v>
      </c>
      <c r="AO42" s="92">
        <f t="shared" si="15"/>
        <v>0</v>
      </c>
      <c r="AP42" s="92">
        <f t="shared" si="15"/>
        <v>0</v>
      </c>
      <c r="AQ42" s="92">
        <f t="shared" si="15"/>
        <v>0</v>
      </c>
      <c r="AR42" s="92">
        <f t="shared" si="15"/>
        <v>0</v>
      </c>
      <c r="AS42" s="92">
        <f t="shared" si="15"/>
        <v>0</v>
      </c>
      <c r="AT42" s="92"/>
      <c r="AU42" s="92">
        <f t="shared" si="15"/>
        <v>0</v>
      </c>
      <c r="AV42" s="92">
        <f t="shared" si="15"/>
        <v>0</v>
      </c>
      <c r="AW42" s="92">
        <f t="shared" si="15"/>
        <v>0</v>
      </c>
      <c r="AX42" s="92">
        <f t="shared" si="15"/>
        <v>3497</v>
      </c>
      <c r="AY42" s="92">
        <f t="shared" si="15"/>
        <v>0</v>
      </c>
      <c r="AZ42" s="92">
        <f t="shared" si="15"/>
        <v>0</v>
      </c>
      <c r="BA42" s="92">
        <f t="shared" si="15"/>
        <v>0</v>
      </c>
      <c r="BB42" s="92">
        <f t="shared" si="15"/>
        <v>0</v>
      </c>
      <c r="BC42" s="92">
        <f t="shared" si="15"/>
        <v>0</v>
      </c>
      <c r="BD42" s="150">
        <f t="shared" si="3"/>
        <v>3497</v>
      </c>
      <c r="BE42" s="92">
        <f t="shared" si="15"/>
        <v>0</v>
      </c>
      <c r="BF42" s="150">
        <f t="shared" si="1"/>
        <v>0</v>
      </c>
      <c r="BG42" s="150">
        <f>BF42+BC42+AX42</f>
        <v>3497</v>
      </c>
    </row>
    <row r="43" spans="1:59" s="10" customFormat="1" ht="12.75">
      <c r="A43" s="117"/>
      <c r="B43" s="121" t="s">
        <v>212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>
        <v>3497</v>
      </c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28">
        <f>SUM(C43:AW43)</f>
        <v>3497</v>
      </c>
      <c r="AY43" s="13"/>
      <c r="AZ43" s="13"/>
      <c r="BA43" s="13"/>
      <c r="BB43" s="13"/>
      <c r="BC43" s="128">
        <f>SUM(AY43:BB43)</f>
        <v>0</v>
      </c>
      <c r="BD43" s="151">
        <f t="shared" si="3"/>
        <v>3497</v>
      </c>
      <c r="BE43" s="13"/>
      <c r="BF43" s="152">
        <f t="shared" si="1"/>
        <v>0</v>
      </c>
      <c r="BG43" s="8">
        <f>BD43+BF43</f>
        <v>3497</v>
      </c>
    </row>
    <row r="44" spans="1:59" s="7" customFormat="1" ht="12.75">
      <c r="A44" s="103">
        <v>11</v>
      </c>
      <c r="B44" s="122" t="s">
        <v>69</v>
      </c>
      <c r="C44" s="31">
        <f>SUM(C45:C46)</f>
        <v>0</v>
      </c>
      <c r="D44" s="31">
        <f aca="true" t="shared" si="16" ref="D44:BC44">SUM(D45:D46)</f>
        <v>0</v>
      </c>
      <c r="E44" s="31">
        <f t="shared" si="16"/>
        <v>0</v>
      </c>
      <c r="F44" s="31">
        <f t="shared" si="16"/>
        <v>0</v>
      </c>
      <c r="G44" s="31"/>
      <c r="H44" s="31">
        <f t="shared" si="16"/>
        <v>0</v>
      </c>
      <c r="I44" s="31">
        <f t="shared" si="16"/>
        <v>0</v>
      </c>
      <c r="J44" s="31">
        <f t="shared" si="16"/>
        <v>0</v>
      </c>
      <c r="K44" s="31">
        <f t="shared" si="16"/>
        <v>0</v>
      </c>
      <c r="L44" s="31">
        <f t="shared" si="16"/>
        <v>0</v>
      </c>
      <c r="M44" s="31">
        <f t="shared" si="16"/>
        <v>2170</v>
      </c>
      <c r="N44" s="31">
        <f t="shared" si="16"/>
        <v>0</v>
      </c>
      <c r="O44" s="31">
        <f t="shared" si="16"/>
        <v>0</v>
      </c>
      <c r="P44" s="31">
        <f t="shared" si="16"/>
        <v>0</v>
      </c>
      <c r="Q44" s="31">
        <f t="shared" si="16"/>
        <v>0</v>
      </c>
      <c r="R44" s="31">
        <f t="shared" si="16"/>
        <v>0</v>
      </c>
      <c r="S44" s="31">
        <f t="shared" si="16"/>
        <v>0</v>
      </c>
      <c r="T44" s="31">
        <f t="shared" si="16"/>
        <v>0</v>
      </c>
      <c r="U44" s="31">
        <f t="shared" si="16"/>
        <v>0</v>
      </c>
      <c r="V44" s="31">
        <f t="shared" si="16"/>
        <v>0</v>
      </c>
      <c r="W44" s="31">
        <f t="shared" si="16"/>
        <v>0</v>
      </c>
      <c r="X44" s="31">
        <f t="shared" si="16"/>
        <v>0</v>
      </c>
      <c r="Y44" s="31">
        <f t="shared" si="16"/>
        <v>0</v>
      </c>
      <c r="Z44" s="31">
        <f t="shared" si="16"/>
        <v>0</v>
      </c>
      <c r="AA44" s="31">
        <f t="shared" si="16"/>
        <v>0</v>
      </c>
      <c r="AB44" s="31">
        <f t="shared" si="16"/>
        <v>0</v>
      </c>
      <c r="AC44" s="31">
        <f t="shared" si="16"/>
        <v>0</v>
      </c>
      <c r="AD44" s="31">
        <f t="shared" si="16"/>
        <v>0</v>
      </c>
      <c r="AE44" s="31">
        <f t="shared" si="16"/>
        <v>0</v>
      </c>
      <c r="AF44" s="31">
        <f t="shared" si="16"/>
        <v>0</v>
      </c>
      <c r="AG44" s="31">
        <f t="shared" si="16"/>
        <v>0</v>
      </c>
      <c r="AH44" s="31">
        <f t="shared" si="16"/>
        <v>0</v>
      </c>
      <c r="AI44" s="31">
        <f t="shared" si="16"/>
        <v>0</v>
      </c>
      <c r="AJ44" s="31">
        <f t="shared" si="16"/>
        <v>0</v>
      </c>
      <c r="AK44" s="31">
        <f t="shared" si="16"/>
        <v>0</v>
      </c>
      <c r="AL44" s="31">
        <f t="shared" si="16"/>
        <v>0</v>
      </c>
      <c r="AM44" s="31">
        <f t="shared" si="16"/>
        <v>0</v>
      </c>
      <c r="AN44" s="31">
        <f t="shared" si="16"/>
        <v>0</v>
      </c>
      <c r="AO44" s="31">
        <f t="shared" si="16"/>
        <v>0</v>
      </c>
      <c r="AP44" s="31">
        <f t="shared" si="16"/>
        <v>0</v>
      </c>
      <c r="AQ44" s="31">
        <f t="shared" si="16"/>
        <v>0</v>
      </c>
      <c r="AR44" s="31">
        <f t="shared" si="16"/>
        <v>0</v>
      </c>
      <c r="AS44" s="31">
        <f t="shared" si="16"/>
        <v>0</v>
      </c>
      <c r="AT44" s="31"/>
      <c r="AU44" s="31">
        <f t="shared" si="16"/>
        <v>0</v>
      </c>
      <c r="AV44" s="31">
        <f t="shared" si="16"/>
        <v>0</v>
      </c>
      <c r="AW44" s="31">
        <f t="shared" si="16"/>
        <v>0</v>
      </c>
      <c r="AX44" s="92">
        <f t="shared" si="16"/>
        <v>2170</v>
      </c>
      <c r="AY44" s="31">
        <f t="shared" si="16"/>
        <v>0</v>
      </c>
      <c r="AZ44" s="31">
        <f t="shared" si="16"/>
        <v>0</v>
      </c>
      <c r="BA44" s="31">
        <f t="shared" si="16"/>
        <v>0</v>
      </c>
      <c r="BB44" s="31">
        <f t="shared" si="16"/>
        <v>0</v>
      </c>
      <c r="BC44" s="92">
        <f t="shared" si="16"/>
        <v>0</v>
      </c>
      <c r="BD44" s="150">
        <f t="shared" si="3"/>
        <v>2170</v>
      </c>
      <c r="BE44" s="31">
        <f>SUM(BE45:BE46)</f>
        <v>0</v>
      </c>
      <c r="BF44" s="150">
        <f t="shared" si="1"/>
        <v>0</v>
      </c>
      <c r="BG44" s="150">
        <f>BF44+BC44+AX44</f>
        <v>2170</v>
      </c>
    </row>
    <row r="45" spans="1:59" s="7" customFormat="1" ht="12.75">
      <c r="A45" s="123"/>
      <c r="B45" s="113" t="s">
        <v>165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>
        <v>2170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28">
        <f>SUM(C45:AW45)</f>
        <v>2170</v>
      </c>
      <c r="AY45" s="13"/>
      <c r="AZ45" s="13"/>
      <c r="BA45" s="13"/>
      <c r="BB45" s="13"/>
      <c r="BC45" s="128">
        <f>SUM(AY45:BB45)</f>
        <v>0</v>
      </c>
      <c r="BD45" s="151">
        <f t="shared" si="3"/>
        <v>2170</v>
      </c>
      <c r="BE45" s="13"/>
      <c r="BF45" s="152">
        <f t="shared" si="1"/>
        <v>0</v>
      </c>
      <c r="BG45" s="8">
        <f>BD45+BF45</f>
        <v>2170</v>
      </c>
    </row>
    <row r="46" spans="1:59" s="7" customFormat="1" ht="12.75">
      <c r="A46" s="124"/>
      <c r="B46" s="113" t="s">
        <v>166</v>
      </c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>
        <v>0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28">
        <v>0</v>
      </c>
      <c r="AY46" s="13"/>
      <c r="AZ46" s="13"/>
      <c r="BA46" s="13"/>
      <c r="BB46" s="13"/>
      <c r="BC46" s="128">
        <f>SUM(AY46:BB46)</f>
        <v>0</v>
      </c>
      <c r="BD46" s="153">
        <f t="shared" si="3"/>
        <v>0</v>
      </c>
      <c r="BE46" s="13"/>
      <c r="BF46" s="154">
        <f t="shared" si="1"/>
        <v>0</v>
      </c>
      <c r="BG46" s="8">
        <f>BD46+BF46</f>
        <v>0</v>
      </c>
    </row>
    <row r="47" spans="1:59" s="7" customFormat="1" ht="15.75">
      <c r="A47" s="99" t="s">
        <v>81</v>
      </c>
      <c r="B47" s="10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102"/>
      <c r="AY47" s="29"/>
      <c r="AZ47" s="29"/>
      <c r="BA47" s="29"/>
      <c r="BB47" s="29"/>
      <c r="BC47" s="102"/>
      <c r="BD47" s="156">
        <f t="shared" si="3"/>
        <v>0</v>
      </c>
      <c r="BE47" s="29"/>
      <c r="BF47" s="147"/>
      <c r="BG47" s="155"/>
    </row>
    <row r="48" spans="1:59" s="7" customFormat="1" ht="12.75">
      <c r="A48" s="103">
        <v>12</v>
      </c>
      <c r="B48" s="125" t="s">
        <v>64</v>
      </c>
      <c r="C48" s="92">
        <f>C49</f>
        <v>0</v>
      </c>
      <c r="D48" s="92">
        <f aca="true" t="shared" si="17" ref="D48:BE48">D49</f>
        <v>0</v>
      </c>
      <c r="E48" s="92">
        <f t="shared" si="17"/>
        <v>0</v>
      </c>
      <c r="F48" s="92">
        <f t="shared" si="17"/>
        <v>0</v>
      </c>
      <c r="G48" s="92"/>
      <c r="H48" s="92">
        <f t="shared" si="17"/>
        <v>0</v>
      </c>
      <c r="I48" s="92">
        <f t="shared" si="17"/>
        <v>0</v>
      </c>
      <c r="J48" s="92">
        <f t="shared" si="17"/>
        <v>0</v>
      </c>
      <c r="K48" s="92">
        <f t="shared" si="17"/>
        <v>0</v>
      </c>
      <c r="L48" s="92">
        <f t="shared" si="17"/>
        <v>0</v>
      </c>
      <c r="M48" s="92">
        <f t="shared" si="17"/>
        <v>28</v>
      </c>
      <c r="N48" s="92">
        <f t="shared" si="17"/>
        <v>0</v>
      </c>
      <c r="O48" s="92">
        <f t="shared" si="17"/>
        <v>0</v>
      </c>
      <c r="P48" s="92">
        <f t="shared" si="17"/>
        <v>0</v>
      </c>
      <c r="Q48" s="92">
        <f t="shared" si="17"/>
        <v>0</v>
      </c>
      <c r="R48" s="92">
        <f t="shared" si="17"/>
        <v>0</v>
      </c>
      <c r="S48" s="92">
        <f t="shared" si="17"/>
        <v>0</v>
      </c>
      <c r="T48" s="92">
        <f t="shared" si="17"/>
        <v>0</v>
      </c>
      <c r="U48" s="92">
        <f t="shared" si="17"/>
        <v>0</v>
      </c>
      <c r="V48" s="92">
        <f t="shared" si="17"/>
        <v>0</v>
      </c>
      <c r="W48" s="92">
        <f t="shared" si="17"/>
        <v>0</v>
      </c>
      <c r="X48" s="92">
        <f t="shared" si="17"/>
        <v>0</v>
      </c>
      <c r="Y48" s="92">
        <f t="shared" si="17"/>
        <v>0</v>
      </c>
      <c r="Z48" s="92">
        <f t="shared" si="17"/>
        <v>0</v>
      </c>
      <c r="AA48" s="92">
        <f t="shared" si="17"/>
        <v>0</v>
      </c>
      <c r="AB48" s="92">
        <f t="shared" si="17"/>
        <v>0</v>
      </c>
      <c r="AC48" s="92">
        <f t="shared" si="17"/>
        <v>0</v>
      </c>
      <c r="AD48" s="92">
        <f t="shared" si="17"/>
        <v>0</v>
      </c>
      <c r="AE48" s="92">
        <f t="shared" si="17"/>
        <v>0</v>
      </c>
      <c r="AF48" s="92">
        <f t="shared" si="17"/>
        <v>0</v>
      </c>
      <c r="AG48" s="92">
        <f t="shared" si="17"/>
        <v>0</v>
      </c>
      <c r="AH48" s="92">
        <f t="shared" si="17"/>
        <v>0</v>
      </c>
      <c r="AI48" s="92">
        <f t="shared" si="17"/>
        <v>0</v>
      </c>
      <c r="AJ48" s="92">
        <f t="shared" si="17"/>
        <v>0</v>
      </c>
      <c r="AK48" s="92">
        <f t="shared" si="17"/>
        <v>0</v>
      </c>
      <c r="AL48" s="92">
        <f t="shared" si="17"/>
        <v>0</v>
      </c>
      <c r="AM48" s="92">
        <f t="shared" si="17"/>
        <v>0</v>
      </c>
      <c r="AN48" s="92">
        <f t="shared" si="17"/>
        <v>0</v>
      </c>
      <c r="AO48" s="92">
        <f t="shared" si="17"/>
        <v>0</v>
      </c>
      <c r="AP48" s="92">
        <f t="shared" si="17"/>
        <v>0</v>
      </c>
      <c r="AQ48" s="92">
        <f t="shared" si="17"/>
        <v>0</v>
      </c>
      <c r="AR48" s="92">
        <f t="shared" si="17"/>
        <v>0</v>
      </c>
      <c r="AS48" s="92">
        <f t="shared" si="17"/>
        <v>0</v>
      </c>
      <c r="AT48" s="92"/>
      <c r="AU48" s="92">
        <f t="shared" si="17"/>
        <v>0</v>
      </c>
      <c r="AV48" s="92">
        <f t="shared" si="17"/>
        <v>0</v>
      </c>
      <c r="AW48" s="92">
        <f t="shared" si="17"/>
        <v>0</v>
      </c>
      <c r="AX48" s="92">
        <f t="shared" si="17"/>
        <v>28</v>
      </c>
      <c r="AY48" s="92">
        <f t="shared" si="17"/>
        <v>0</v>
      </c>
      <c r="AZ48" s="92">
        <f t="shared" si="17"/>
        <v>0</v>
      </c>
      <c r="BA48" s="92">
        <f t="shared" si="17"/>
        <v>0</v>
      </c>
      <c r="BB48" s="92">
        <f t="shared" si="17"/>
        <v>0</v>
      </c>
      <c r="BC48" s="92">
        <f t="shared" si="17"/>
        <v>0</v>
      </c>
      <c r="BD48" s="150">
        <f t="shared" si="3"/>
        <v>28</v>
      </c>
      <c r="BE48" s="92">
        <f t="shared" si="17"/>
        <v>0</v>
      </c>
      <c r="BF48" s="150">
        <f t="shared" si="1"/>
        <v>0</v>
      </c>
      <c r="BG48" s="150">
        <f>BF48+BC48+AX48</f>
        <v>28</v>
      </c>
    </row>
    <row r="49" spans="1:59" s="7" customFormat="1" ht="12.75">
      <c r="A49" s="117"/>
      <c r="B49" s="113" t="s">
        <v>167</v>
      </c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>
        <v>28</v>
      </c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28">
        <f>SUM(C49:AW49)</f>
        <v>28</v>
      </c>
      <c r="AY49" s="13"/>
      <c r="AZ49" s="13"/>
      <c r="BA49" s="13"/>
      <c r="BB49" s="13"/>
      <c r="BC49" s="128">
        <f>SUM(AY49:BB49)</f>
        <v>0</v>
      </c>
      <c r="BD49" s="151">
        <f t="shared" si="3"/>
        <v>28</v>
      </c>
      <c r="BE49" s="13"/>
      <c r="BF49" s="152">
        <f t="shared" si="1"/>
        <v>0</v>
      </c>
      <c r="BG49" s="8">
        <f>BD49+BF49</f>
        <v>28</v>
      </c>
    </row>
    <row r="50" spans="1:59" s="23" customFormat="1" ht="24" customHeight="1">
      <c r="A50" s="126"/>
      <c r="B50" s="127" t="s">
        <v>60</v>
      </c>
      <c r="C50" s="93">
        <f>C48+C44+C42+C40+C38+C35+C33+C31+C26+C22+C13+C6</f>
        <v>5231</v>
      </c>
      <c r="D50" s="93">
        <f aca="true" t="shared" si="18" ref="D50:BC50">D48+D44+D42+D40+D38+D35+D33+D31+D26+D22+D13+D6</f>
        <v>0</v>
      </c>
      <c r="E50" s="93">
        <f t="shared" si="18"/>
        <v>0</v>
      </c>
      <c r="F50" s="93">
        <f t="shared" si="18"/>
        <v>8980</v>
      </c>
      <c r="G50" s="93"/>
      <c r="H50" s="93">
        <f t="shared" si="18"/>
        <v>644</v>
      </c>
      <c r="I50" s="93">
        <f t="shared" si="18"/>
        <v>1121</v>
      </c>
      <c r="J50" s="93">
        <f t="shared" si="18"/>
        <v>0</v>
      </c>
      <c r="K50" s="93">
        <f t="shared" si="18"/>
        <v>107</v>
      </c>
      <c r="L50" s="93">
        <f t="shared" si="18"/>
        <v>21</v>
      </c>
      <c r="M50" s="93">
        <f t="shared" si="18"/>
        <v>50197</v>
      </c>
      <c r="N50" s="93">
        <f t="shared" si="18"/>
        <v>0</v>
      </c>
      <c r="O50" s="93">
        <f t="shared" si="18"/>
        <v>0</v>
      </c>
      <c r="P50" s="93">
        <f t="shared" si="18"/>
        <v>0</v>
      </c>
      <c r="Q50" s="93">
        <f t="shared" si="18"/>
        <v>0</v>
      </c>
      <c r="R50" s="93">
        <f t="shared" si="18"/>
        <v>126924</v>
      </c>
      <c r="S50" s="93">
        <f t="shared" si="18"/>
        <v>0</v>
      </c>
      <c r="T50" s="93">
        <f t="shared" si="18"/>
        <v>0</v>
      </c>
      <c r="U50" s="93">
        <f t="shared" si="18"/>
        <v>0</v>
      </c>
      <c r="V50" s="93">
        <f t="shared" si="18"/>
        <v>2107</v>
      </c>
      <c r="W50" s="93">
        <f t="shared" si="18"/>
        <v>0</v>
      </c>
      <c r="X50" s="93">
        <f t="shared" si="18"/>
        <v>0</v>
      </c>
      <c r="Y50" s="93">
        <f t="shared" si="18"/>
        <v>0</v>
      </c>
      <c r="Z50" s="93">
        <f t="shared" si="18"/>
        <v>0</v>
      </c>
      <c r="AA50" s="93">
        <f t="shared" si="18"/>
        <v>0</v>
      </c>
      <c r="AB50" s="93">
        <f t="shared" si="18"/>
        <v>0</v>
      </c>
      <c r="AC50" s="93">
        <f t="shared" si="18"/>
        <v>0</v>
      </c>
      <c r="AD50" s="93">
        <f t="shared" si="18"/>
        <v>0</v>
      </c>
      <c r="AE50" s="93">
        <f t="shared" si="18"/>
        <v>0</v>
      </c>
      <c r="AF50" s="93">
        <f t="shared" si="18"/>
        <v>0</v>
      </c>
      <c r="AG50" s="93">
        <f t="shared" si="18"/>
        <v>0</v>
      </c>
      <c r="AH50" s="93">
        <f t="shared" si="18"/>
        <v>0</v>
      </c>
      <c r="AI50" s="93">
        <f t="shared" si="18"/>
        <v>0</v>
      </c>
      <c r="AJ50" s="93">
        <f t="shared" si="18"/>
        <v>0</v>
      </c>
      <c r="AK50" s="93">
        <f t="shared" si="18"/>
        <v>0</v>
      </c>
      <c r="AL50" s="93">
        <f t="shared" si="18"/>
        <v>0</v>
      </c>
      <c r="AM50" s="93">
        <f t="shared" si="18"/>
        <v>78</v>
      </c>
      <c r="AN50" s="93">
        <f t="shared" si="18"/>
        <v>0</v>
      </c>
      <c r="AO50" s="93">
        <f t="shared" si="18"/>
        <v>0</v>
      </c>
      <c r="AP50" s="93">
        <f t="shared" si="18"/>
        <v>0</v>
      </c>
      <c r="AQ50" s="93">
        <f t="shared" si="18"/>
        <v>0</v>
      </c>
      <c r="AR50" s="93">
        <f t="shared" si="18"/>
        <v>425</v>
      </c>
      <c r="AS50" s="93">
        <f t="shared" si="18"/>
        <v>0</v>
      </c>
      <c r="AT50" s="93"/>
      <c r="AU50" s="93">
        <f t="shared" si="18"/>
        <v>0</v>
      </c>
      <c r="AV50" s="93">
        <f t="shared" si="18"/>
        <v>168</v>
      </c>
      <c r="AW50" s="93">
        <f t="shared" si="18"/>
        <v>272</v>
      </c>
      <c r="AX50" s="93">
        <f t="shared" si="18"/>
        <v>196275</v>
      </c>
      <c r="AY50" s="93">
        <f t="shared" si="18"/>
        <v>3179</v>
      </c>
      <c r="AZ50" s="93">
        <f t="shared" si="18"/>
        <v>408</v>
      </c>
      <c r="BA50" s="93">
        <f t="shared" si="18"/>
        <v>0</v>
      </c>
      <c r="BB50" s="93">
        <f t="shared" si="18"/>
        <v>0</v>
      </c>
      <c r="BC50" s="93">
        <f t="shared" si="18"/>
        <v>3587</v>
      </c>
      <c r="BD50" s="6">
        <f>BD35+BD48+BD33+BD44+BD31+BD42+BD26+BD22+BD38+BD13+BD40+BD6</f>
        <v>199862</v>
      </c>
      <c r="BE50" s="93">
        <f>BE48+BE44+BE42+BE40+BE38+BE35+BE33+BE31+BE26+BE22+BE13+BE6</f>
        <v>209</v>
      </c>
      <c r="BF50" s="6">
        <f>BF35+BF48+BF33+BF44+BF31+BF42+BF26+BF22+BF38+BF13+BF40+BF6</f>
        <v>209</v>
      </c>
      <c r="BG50" s="157">
        <f>BF50+BC50+AX50</f>
        <v>200071</v>
      </c>
    </row>
    <row r="51" spans="1:59" s="5" customFormat="1" ht="24" customHeight="1">
      <c r="A51" s="22"/>
      <c r="B51" s="21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19"/>
      <c r="AY51" s="20"/>
      <c r="AZ51" s="20"/>
      <c r="BA51" s="20"/>
      <c r="BB51" s="20"/>
      <c r="BC51" s="19"/>
      <c r="BD51" s="19"/>
      <c r="BE51" s="20"/>
      <c r="BF51" s="19"/>
      <c r="BG51" s="18"/>
    </row>
    <row r="52" spans="1:59" s="17" customFormat="1" ht="18.75" customHeight="1">
      <c r="A52" s="620" t="s">
        <v>59</v>
      </c>
      <c r="B52" s="620"/>
      <c r="C52" s="622" t="s">
        <v>58</v>
      </c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 t="s">
        <v>58</v>
      </c>
      <c r="AD52" s="623"/>
      <c r="AE52" s="623"/>
      <c r="AF52" s="623"/>
      <c r="AG52" s="623"/>
      <c r="AH52" s="623"/>
      <c r="AI52" s="623"/>
      <c r="AJ52" s="623"/>
      <c r="AK52" s="623"/>
      <c r="AL52" s="623"/>
      <c r="AM52" s="623"/>
      <c r="AN52" s="623"/>
      <c r="AO52" s="623"/>
      <c r="AP52" s="623"/>
      <c r="AQ52" s="623"/>
      <c r="AR52" s="623"/>
      <c r="AS52" s="623"/>
      <c r="AT52" s="623"/>
      <c r="AU52" s="623"/>
      <c r="AV52" s="623"/>
      <c r="AW52" s="624"/>
      <c r="AX52" s="625" t="s">
        <v>57</v>
      </c>
      <c r="AY52" s="626" t="s">
        <v>56</v>
      </c>
      <c r="AZ52" s="627"/>
      <c r="BA52" s="627"/>
      <c r="BB52" s="628"/>
      <c r="BC52" s="617" t="s">
        <v>55</v>
      </c>
      <c r="BD52" s="612" t="s">
        <v>203</v>
      </c>
      <c r="BE52" s="146" t="s">
        <v>54</v>
      </c>
      <c r="BF52" s="612" t="s">
        <v>204</v>
      </c>
      <c r="BG52" s="614" t="s">
        <v>53</v>
      </c>
    </row>
    <row r="53" spans="1:59" s="14" customFormat="1" ht="48" customHeight="1">
      <c r="A53" s="620"/>
      <c r="B53" s="620"/>
      <c r="C53" s="94">
        <v>382101</v>
      </c>
      <c r="D53" s="94">
        <v>421100</v>
      </c>
      <c r="E53" s="94">
        <v>552110</v>
      </c>
      <c r="F53" s="94">
        <v>562917</v>
      </c>
      <c r="G53" s="94">
        <f>G3</f>
        <v>581400</v>
      </c>
      <c r="H53" s="94">
        <v>682001</v>
      </c>
      <c r="I53" s="94">
        <v>682002</v>
      </c>
      <c r="J53" s="94">
        <v>750000</v>
      </c>
      <c r="K53" s="94">
        <v>841112</v>
      </c>
      <c r="L53" s="94">
        <v>841116</v>
      </c>
      <c r="M53" s="94">
        <v>841126</v>
      </c>
      <c r="N53" s="94">
        <v>841133</v>
      </c>
      <c r="O53" s="94">
        <v>841191</v>
      </c>
      <c r="P53" s="94">
        <v>841402</v>
      </c>
      <c r="Q53" s="94">
        <v>841403</v>
      </c>
      <c r="R53" s="94">
        <v>841901</v>
      </c>
      <c r="S53" s="94">
        <v>841906</v>
      </c>
      <c r="T53" s="94">
        <v>841908</v>
      </c>
      <c r="U53" s="94">
        <v>854234</v>
      </c>
      <c r="V53" s="94">
        <v>869041</v>
      </c>
      <c r="W53" s="94">
        <v>882111</v>
      </c>
      <c r="X53" s="94">
        <v>882112</v>
      </c>
      <c r="Y53" s="94">
        <v>882113</v>
      </c>
      <c r="Z53" s="94">
        <v>882114</v>
      </c>
      <c r="AA53" s="94">
        <v>882115</v>
      </c>
      <c r="AB53" s="94">
        <v>882116</v>
      </c>
      <c r="AC53" s="94">
        <v>882117</v>
      </c>
      <c r="AD53" s="94">
        <v>882118</v>
      </c>
      <c r="AE53" s="94">
        <v>882119</v>
      </c>
      <c r="AF53" s="94">
        <v>882121</v>
      </c>
      <c r="AG53" s="94">
        <v>882122</v>
      </c>
      <c r="AH53" s="94">
        <v>882123</v>
      </c>
      <c r="AI53" s="94">
        <v>882124</v>
      </c>
      <c r="AJ53" s="94">
        <v>882125</v>
      </c>
      <c r="AK53" s="94">
        <v>882129</v>
      </c>
      <c r="AL53" s="94">
        <v>882202</v>
      </c>
      <c r="AM53" s="94">
        <v>882203</v>
      </c>
      <c r="AN53" s="94">
        <v>889921</v>
      </c>
      <c r="AO53" s="94">
        <v>889928</v>
      </c>
      <c r="AP53" s="94">
        <v>889969</v>
      </c>
      <c r="AQ53" s="94">
        <v>890301</v>
      </c>
      <c r="AR53" s="94">
        <v>890441</v>
      </c>
      <c r="AS53" s="94">
        <v>890442</v>
      </c>
      <c r="AT53" s="94">
        <f>AT3</f>
        <v>890443</v>
      </c>
      <c r="AU53" s="94">
        <v>910123</v>
      </c>
      <c r="AV53" s="94">
        <v>910502</v>
      </c>
      <c r="AW53" s="94">
        <v>960302</v>
      </c>
      <c r="AX53" s="618"/>
      <c r="AY53" s="95">
        <v>562912</v>
      </c>
      <c r="AZ53" s="95">
        <v>851000</v>
      </c>
      <c r="BA53" s="95">
        <v>851011</v>
      </c>
      <c r="BB53" s="95">
        <v>851012</v>
      </c>
      <c r="BC53" s="618"/>
      <c r="BD53" s="613"/>
      <c r="BE53" s="16">
        <v>841127</v>
      </c>
      <c r="BF53" s="613"/>
      <c r="BG53" s="615"/>
    </row>
    <row r="54" spans="1:59" s="14" customFormat="1" ht="47.25" customHeight="1">
      <c r="A54" s="621"/>
      <c r="B54" s="621"/>
      <c r="C54" s="96" t="s">
        <v>52</v>
      </c>
      <c r="D54" s="96" t="s">
        <v>51</v>
      </c>
      <c r="E54" s="96" t="s">
        <v>50</v>
      </c>
      <c r="F54" s="96" t="s">
        <v>49</v>
      </c>
      <c r="G54" s="96" t="str">
        <f>G4</f>
        <v>Folyóirat, időszaki kiadvány kiadása</v>
      </c>
      <c r="H54" s="96" t="s">
        <v>48</v>
      </c>
      <c r="I54" s="96" t="s">
        <v>47</v>
      </c>
      <c r="J54" s="96" t="s">
        <v>46</v>
      </c>
      <c r="K54" s="96" t="s">
        <v>45</v>
      </c>
      <c r="L54" s="96" t="s">
        <v>44</v>
      </c>
      <c r="M54" s="96" t="s">
        <v>43</v>
      </c>
      <c r="N54" s="96" t="s">
        <v>42</v>
      </c>
      <c r="O54" s="96" t="s">
        <v>41</v>
      </c>
      <c r="P54" s="96" t="s">
        <v>40</v>
      </c>
      <c r="Q54" s="96" t="s">
        <v>39</v>
      </c>
      <c r="R54" s="96" t="s">
        <v>38</v>
      </c>
      <c r="S54" s="96" t="s">
        <v>37</v>
      </c>
      <c r="T54" s="96" t="s">
        <v>36</v>
      </c>
      <c r="U54" s="96" t="s">
        <v>35</v>
      </c>
      <c r="V54" s="96" t="s">
        <v>34</v>
      </c>
      <c r="W54" s="96" t="s">
        <v>33</v>
      </c>
      <c r="X54" s="96" t="s">
        <v>32</v>
      </c>
      <c r="Y54" s="96" t="s">
        <v>31</v>
      </c>
      <c r="Z54" s="97" t="s">
        <v>30</v>
      </c>
      <c r="AA54" s="97" t="s">
        <v>29</v>
      </c>
      <c r="AB54" s="97" t="s">
        <v>28</v>
      </c>
      <c r="AC54" s="97" t="s">
        <v>27</v>
      </c>
      <c r="AD54" s="97" t="s">
        <v>26</v>
      </c>
      <c r="AE54" s="97" t="s">
        <v>25</v>
      </c>
      <c r="AF54" s="97" t="s">
        <v>24</v>
      </c>
      <c r="AG54" s="97" t="s">
        <v>23</v>
      </c>
      <c r="AH54" s="97" t="s">
        <v>22</v>
      </c>
      <c r="AI54" s="97" t="s">
        <v>21</v>
      </c>
      <c r="AJ54" s="97" t="s">
        <v>20</v>
      </c>
      <c r="AK54" s="97" t="s">
        <v>19</v>
      </c>
      <c r="AL54" s="97" t="s">
        <v>18</v>
      </c>
      <c r="AM54" s="97" t="s">
        <v>17</v>
      </c>
      <c r="AN54" s="97" t="s">
        <v>16</v>
      </c>
      <c r="AO54" s="97" t="s">
        <v>15</v>
      </c>
      <c r="AP54" s="97" t="s">
        <v>14</v>
      </c>
      <c r="AQ54" s="97" t="s">
        <v>13</v>
      </c>
      <c r="AR54" s="97" t="str">
        <f>AR4</f>
        <v>rövid időtartamú közfoglalkoz- tatás</v>
      </c>
      <c r="AS54" s="97" t="str">
        <f>AS4</f>
        <v>BPJ-re jog-ak hosszab időt-ú közfogl-a</v>
      </c>
      <c r="AT54" s="97" t="str">
        <f>AT4</f>
        <v>Egyéb közfoglal-koztatás</v>
      </c>
      <c r="AU54" s="97" t="s">
        <v>12</v>
      </c>
      <c r="AV54" s="97" t="s">
        <v>11</v>
      </c>
      <c r="AW54" s="97" t="s">
        <v>10</v>
      </c>
      <c r="AX54" s="619"/>
      <c r="AY54" s="96" t="s">
        <v>9</v>
      </c>
      <c r="AZ54" s="98" t="s">
        <v>8</v>
      </c>
      <c r="BA54" s="96" t="s">
        <v>7</v>
      </c>
      <c r="BB54" s="96" t="s">
        <v>6</v>
      </c>
      <c r="BC54" s="619"/>
      <c r="BD54" s="613"/>
      <c r="BE54" s="15" t="s">
        <v>5</v>
      </c>
      <c r="BF54" s="613"/>
      <c r="BG54" s="616"/>
    </row>
    <row r="55" spans="1:59" s="7" customFormat="1" ht="12" customHeight="1">
      <c r="A55" s="131">
        <v>1</v>
      </c>
      <c r="B55" s="108" t="s">
        <v>4</v>
      </c>
      <c r="C55" s="92">
        <f>C56+C57+C58+C60+C61</f>
        <v>5516</v>
      </c>
      <c r="D55" s="92">
        <f aca="true" t="shared" si="19" ref="D55:BG55">D56+D57+D58+D60+D61</f>
        <v>0</v>
      </c>
      <c r="E55" s="92">
        <f t="shared" si="19"/>
        <v>441</v>
      </c>
      <c r="F55" s="92">
        <f t="shared" si="19"/>
        <v>19469</v>
      </c>
      <c r="G55" s="92">
        <f t="shared" si="19"/>
        <v>33</v>
      </c>
      <c r="H55" s="92">
        <f t="shared" si="19"/>
        <v>47</v>
      </c>
      <c r="I55" s="92">
        <f t="shared" si="19"/>
        <v>134</v>
      </c>
      <c r="J55" s="92">
        <f t="shared" si="19"/>
        <v>187</v>
      </c>
      <c r="K55" s="92">
        <f t="shared" si="19"/>
        <v>6672</v>
      </c>
      <c r="L55" s="92">
        <f t="shared" si="19"/>
        <v>21</v>
      </c>
      <c r="M55" s="92">
        <f t="shared" si="19"/>
        <v>59425</v>
      </c>
      <c r="N55" s="92">
        <f t="shared" si="19"/>
        <v>1958</v>
      </c>
      <c r="O55" s="92">
        <f t="shared" si="19"/>
        <v>7</v>
      </c>
      <c r="P55" s="92">
        <f t="shared" si="19"/>
        <v>5262</v>
      </c>
      <c r="Q55" s="92">
        <f t="shared" si="19"/>
        <v>1875</v>
      </c>
      <c r="R55" s="92">
        <f t="shared" si="19"/>
        <v>0</v>
      </c>
      <c r="S55" s="92">
        <f t="shared" si="19"/>
        <v>0</v>
      </c>
      <c r="T55" s="92">
        <f t="shared" si="19"/>
        <v>0</v>
      </c>
      <c r="U55" s="92">
        <f t="shared" si="19"/>
        <v>90</v>
      </c>
      <c r="V55" s="92">
        <f t="shared" si="19"/>
        <v>2862</v>
      </c>
      <c r="W55" s="92">
        <f t="shared" si="19"/>
        <v>6567</v>
      </c>
      <c r="X55" s="92">
        <f t="shared" si="19"/>
        <v>607</v>
      </c>
      <c r="Y55" s="92">
        <f t="shared" si="19"/>
        <v>1536</v>
      </c>
      <c r="Z55" s="92">
        <f t="shared" si="19"/>
        <v>0</v>
      </c>
      <c r="AA55" s="92">
        <f t="shared" si="19"/>
        <v>2586</v>
      </c>
      <c r="AB55" s="92">
        <f t="shared" si="19"/>
        <v>335</v>
      </c>
      <c r="AC55" s="92">
        <f t="shared" si="19"/>
        <v>1117</v>
      </c>
      <c r="AD55" s="92">
        <f t="shared" si="19"/>
        <v>0</v>
      </c>
      <c r="AE55" s="92">
        <f t="shared" si="19"/>
        <v>0</v>
      </c>
      <c r="AF55" s="92">
        <f t="shared" si="19"/>
        <v>0</v>
      </c>
      <c r="AG55" s="92">
        <f t="shared" si="19"/>
        <v>122</v>
      </c>
      <c r="AH55" s="92">
        <f t="shared" si="19"/>
        <v>75</v>
      </c>
      <c r="AI55" s="92">
        <f t="shared" si="19"/>
        <v>5</v>
      </c>
      <c r="AJ55" s="92">
        <f t="shared" si="19"/>
        <v>115</v>
      </c>
      <c r="AK55" s="92">
        <f t="shared" si="19"/>
        <v>0</v>
      </c>
      <c r="AL55" s="92">
        <f t="shared" si="19"/>
        <v>137</v>
      </c>
      <c r="AM55" s="92">
        <f t="shared" si="19"/>
        <v>73</v>
      </c>
      <c r="AN55" s="92">
        <f t="shared" si="19"/>
        <v>1545</v>
      </c>
      <c r="AO55" s="92">
        <f t="shared" si="19"/>
        <v>1729</v>
      </c>
      <c r="AP55" s="92">
        <f t="shared" si="19"/>
        <v>240</v>
      </c>
      <c r="AQ55" s="92">
        <f t="shared" si="19"/>
        <v>0</v>
      </c>
      <c r="AR55" s="92">
        <f t="shared" si="19"/>
        <v>3048</v>
      </c>
      <c r="AS55" s="92">
        <f t="shared" si="19"/>
        <v>0</v>
      </c>
      <c r="AT55" s="92">
        <f t="shared" si="19"/>
        <v>484</v>
      </c>
      <c r="AU55" s="92">
        <f t="shared" si="19"/>
        <v>295</v>
      </c>
      <c r="AV55" s="92">
        <f t="shared" si="19"/>
        <v>2551</v>
      </c>
      <c r="AW55" s="92">
        <f t="shared" si="19"/>
        <v>17</v>
      </c>
      <c r="AX55" s="92">
        <f>SUM(C55:AW55)</f>
        <v>127183</v>
      </c>
      <c r="AY55" s="92">
        <f>AY56+AY57+AY58+AY60+AY61</f>
        <v>0</v>
      </c>
      <c r="AZ55" s="92">
        <f>AZ56+AZ57+AZ58+AZ60+AZ61</f>
        <v>613</v>
      </c>
      <c r="BA55" s="92">
        <f>BA56+BA57+BA58+BA60+BA61</f>
        <v>23512</v>
      </c>
      <c r="BB55" s="92">
        <f>BB56+BB57+BB58+BB60+BB61</f>
        <v>655</v>
      </c>
      <c r="BC55" s="92">
        <f aca="true" t="shared" si="20" ref="BC55:BC68">SUM(AY55:BB55)</f>
        <v>24780</v>
      </c>
      <c r="BD55" s="92">
        <f t="shared" si="19"/>
        <v>151963</v>
      </c>
      <c r="BE55" s="92">
        <f>BE56+BE57+BE58+BE60+BE61</f>
        <v>113</v>
      </c>
      <c r="BF55" s="92">
        <f t="shared" si="19"/>
        <v>113</v>
      </c>
      <c r="BG55" s="92">
        <f t="shared" si="19"/>
        <v>152076</v>
      </c>
    </row>
    <row r="56" spans="1:59" s="7" customFormat="1" ht="12.75">
      <c r="A56" s="132"/>
      <c r="B56" s="133" t="s">
        <v>174</v>
      </c>
      <c r="C56" s="13"/>
      <c r="D56" s="13"/>
      <c r="E56" s="13"/>
      <c r="F56" s="13">
        <v>4563</v>
      </c>
      <c r="G56" s="13"/>
      <c r="H56" s="13"/>
      <c r="I56" s="13"/>
      <c r="J56" s="13"/>
      <c r="K56" s="13">
        <v>5170</v>
      </c>
      <c r="L56" s="13">
        <v>15</v>
      </c>
      <c r="M56" s="13">
        <v>13645</v>
      </c>
      <c r="N56" s="13">
        <v>1317</v>
      </c>
      <c r="O56" s="13"/>
      <c r="P56" s="13"/>
      <c r="Q56" s="13">
        <v>836</v>
      </c>
      <c r="R56" s="13"/>
      <c r="S56" s="13"/>
      <c r="T56" s="13"/>
      <c r="U56" s="13"/>
      <c r="V56" s="13">
        <v>1681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>
        <v>1030</v>
      </c>
      <c r="AP56" s="13"/>
      <c r="AQ56" s="13"/>
      <c r="AR56" s="13">
        <v>2615</v>
      </c>
      <c r="AS56" s="13"/>
      <c r="AT56" s="13">
        <v>438</v>
      </c>
      <c r="AU56" s="13">
        <v>83</v>
      </c>
      <c r="AV56" s="13">
        <v>1348</v>
      </c>
      <c r="AW56" s="13"/>
      <c r="AX56" s="128">
        <f>SUM(C56:AW56)</f>
        <v>32741</v>
      </c>
      <c r="AY56" s="13"/>
      <c r="AZ56" s="13">
        <v>259</v>
      </c>
      <c r="BA56" s="13">
        <v>17124</v>
      </c>
      <c r="BB56" s="13">
        <v>517</v>
      </c>
      <c r="BC56" s="128">
        <f t="shared" si="20"/>
        <v>17900</v>
      </c>
      <c r="BD56" s="151">
        <f aca="true" t="shared" si="21" ref="BD56:BD68">AX56+BC56</f>
        <v>50641</v>
      </c>
      <c r="BE56" s="13"/>
      <c r="BF56" s="151">
        <f aca="true" t="shared" si="22" ref="BF56:BF65">BE56</f>
        <v>0</v>
      </c>
      <c r="BG56" s="8">
        <f aca="true" t="shared" si="23" ref="BG56:BG65">BD56+BF56</f>
        <v>50641</v>
      </c>
    </row>
    <row r="57" spans="1:59" s="7" customFormat="1" ht="12.75">
      <c r="A57" s="134"/>
      <c r="B57" s="133" t="s">
        <v>175</v>
      </c>
      <c r="C57" s="13"/>
      <c r="D57" s="13"/>
      <c r="E57" s="13"/>
      <c r="F57" s="13">
        <v>1230</v>
      </c>
      <c r="G57" s="13"/>
      <c r="H57" s="13"/>
      <c r="I57" s="13"/>
      <c r="J57" s="13"/>
      <c r="K57" s="13">
        <v>1379</v>
      </c>
      <c r="L57" s="13">
        <v>4</v>
      </c>
      <c r="M57" s="13">
        <v>3732</v>
      </c>
      <c r="N57" s="13">
        <v>356</v>
      </c>
      <c r="O57" s="13"/>
      <c r="P57" s="13"/>
      <c r="Q57" s="13">
        <v>293</v>
      </c>
      <c r="R57" s="13"/>
      <c r="S57" s="13"/>
      <c r="T57" s="13"/>
      <c r="U57" s="13"/>
      <c r="V57" s="13">
        <v>448</v>
      </c>
      <c r="W57" s="13"/>
      <c r="X57" s="13"/>
      <c r="Y57" s="13"/>
      <c r="Z57" s="13"/>
      <c r="AA57" s="13">
        <v>481</v>
      </c>
      <c r="AB57" s="13">
        <v>65</v>
      </c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>
        <v>272</v>
      </c>
      <c r="AP57" s="13"/>
      <c r="AQ57" s="13"/>
      <c r="AR57" s="13">
        <v>433</v>
      </c>
      <c r="AS57" s="13"/>
      <c r="AT57" s="13">
        <v>46</v>
      </c>
      <c r="AU57" s="13">
        <v>23</v>
      </c>
      <c r="AV57" s="13">
        <v>354</v>
      </c>
      <c r="AW57" s="13"/>
      <c r="AX57" s="128">
        <f aca="true" t="shared" si="24" ref="AX57:AX68">SUM(C57:AW57)</f>
        <v>9116</v>
      </c>
      <c r="AY57" s="13"/>
      <c r="AZ57" s="13">
        <v>70</v>
      </c>
      <c r="BA57" s="13">
        <v>4568</v>
      </c>
      <c r="BB57" s="13">
        <v>138</v>
      </c>
      <c r="BC57" s="128">
        <f t="shared" si="20"/>
        <v>4776</v>
      </c>
      <c r="BD57" s="151">
        <f t="shared" si="21"/>
        <v>13892</v>
      </c>
      <c r="BE57" s="13"/>
      <c r="BF57" s="151">
        <f t="shared" si="22"/>
        <v>0</v>
      </c>
      <c r="BG57" s="8">
        <f t="shared" si="23"/>
        <v>13892</v>
      </c>
    </row>
    <row r="58" spans="1:59" s="7" customFormat="1" ht="12.75">
      <c r="A58" s="134"/>
      <c r="B58" s="133" t="s">
        <v>176</v>
      </c>
      <c r="C58" s="13">
        <v>5516</v>
      </c>
      <c r="D58" s="13"/>
      <c r="E58" s="13">
        <v>441</v>
      </c>
      <c r="F58" s="13">
        <v>13676</v>
      </c>
      <c r="G58" s="13">
        <v>33</v>
      </c>
      <c r="H58" s="13">
        <v>47</v>
      </c>
      <c r="I58" s="13">
        <v>134</v>
      </c>
      <c r="J58" s="13">
        <v>187</v>
      </c>
      <c r="K58" s="13">
        <v>123</v>
      </c>
      <c r="L58" s="13">
        <v>2</v>
      </c>
      <c r="M58" s="13">
        <v>40590</v>
      </c>
      <c r="N58" s="13">
        <v>285</v>
      </c>
      <c r="O58" s="13">
        <v>7</v>
      </c>
      <c r="P58" s="13">
        <v>5262</v>
      </c>
      <c r="Q58" s="13">
        <v>746</v>
      </c>
      <c r="R58" s="13"/>
      <c r="S58" s="13"/>
      <c r="T58" s="13"/>
      <c r="U58" s="13"/>
      <c r="V58" s="13">
        <v>733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>
        <v>427</v>
      </c>
      <c r="AP58" s="13"/>
      <c r="AQ58" s="13"/>
      <c r="AR58" s="13"/>
      <c r="AS58" s="13"/>
      <c r="AT58" s="13"/>
      <c r="AU58" s="13">
        <v>189</v>
      </c>
      <c r="AV58" s="13">
        <v>849</v>
      </c>
      <c r="AW58" s="13">
        <v>17</v>
      </c>
      <c r="AX58" s="128">
        <f t="shared" si="24"/>
        <v>69264</v>
      </c>
      <c r="AY58" s="13"/>
      <c r="AZ58" s="13">
        <v>284</v>
      </c>
      <c r="BA58" s="13">
        <v>1820</v>
      </c>
      <c r="BB58" s="13"/>
      <c r="BC58" s="128">
        <f t="shared" si="20"/>
        <v>2104</v>
      </c>
      <c r="BD58" s="151">
        <f t="shared" si="21"/>
        <v>71368</v>
      </c>
      <c r="BE58" s="13">
        <v>109</v>
      </c>
      <c r="BF58" s="151">
        <f t="shared" si="22"/>
        <v>109</v>
      </c>
      <c r="BG58" s="8">
        <f t="shared" si="23"/>
        <v>71477</v>
      </c>
    </row>
    <row r="59" spans="1:59" s="7" customFormat="1" ht="12.75">
      <c r="A59" s="134"/>
      <c r="B59" s="133" t="s">
        <v>3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>
        <v>3180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28">
        <f t="shared" si="24"/>
        <v>3180</v>
      </c>
      <c r="AY59" s="13"/>
      <c r="AZ59" s="13"/>
      <c r="BA59" s="13"/>
      <c r="BB59" s="13"/>
      <c r="BC59" s="128">
        <f t="shared" si="20"/>
        <v>0</v>
      </c>
      <c r="BD59" s="151">
        <f t="shared" si="21"/>
        <v>3180</v>
      </c>
      <c r="BE59" s="13"/>
      <c r="BF59" s="151">
        <f t="shared" si="22"/>
        <v>0</v>
      </c>
      <c r="BG59" s="8">
        <f t="shared" si="23"/>
        <v>3180</v>
      </c>
    </row>
    <row r="60" spans="1:59" s="7" customFormat="1" ht="12.75">
      <c r="A60" s="134"/>
      <c r="B60" s="133" t="s">
        <v>177</v>
      </c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>
        <v>6567</v>
      </c>
      <c r="X60" s="13">
        <v>607</v>
      </c>
      <c r="Y60" s="13">
        <v>1536</v>
      </c>
      <c r="Z60" s="13"/>
      <c r="AA60" s="13">
        <v>2105</v>
      </c>
      <c r="AB60" s="13">
        <v>270</v>
      </c>
      <c r="AC60" s="13">
        <v>1117</v>
      </c>
      <c r="AD60" s="13"/>
      <c r="AE60" s="13"/>
      <c r="AF60" s="13"/>
      <c r="AG60" s="13">
        <v>122</v>
      </c>
      <c r="AH60" s="13">
        <v>75</v>
      </c>
      <c r="AI60" s="13">
        <v>5</v>
      </c>
      <c r="AJ60" s="13">
        <v>115</v>
      </c>
      <c r="AK60" s="13"/>
      <c r="AL60" s="13">
        <v>137</v>
      </c>
      <c r="AM60" s="13">
        <v>73</v>
      </c>
      <c r="AN60" s="13">
        <v>1545</v>
      </c>
      <c r="AO60" s="13"/>
      <c r="AP60" s="13">
        <v>240</v>
      </c>
      <c r="AQ60" s="13"/>
      <c r="AR60" s="13"/>
      <c r="AS60" s="13"/>
      <c r="AT60" s="13"/>
      <c r="AU60" s="13"/>
      <c r="AV60" s="13"/>
      <c r="AW60" s="13"/>
      <c r="AX60" s="128">
        <f t="shared" si="24"/>
        <v>14514</v>
      </c>
      <c r="AY60" s="13"/>
      <c r="AZ60" s="13"/>
      <c r="BA60" s="13"/>
      <c r="BB60" s="13"/>
      <c r="BC60" s="128">
        <f t="shared" si="20"/>
        <v>0</v>
      </c>
      <c r="BD60" s="151">
        <f t="shared" si="21"/>
        <v>14514</v>
      </c>
      <c r="BE60" s="13"/>
      <c r="BF60" s="151">
        <f t="shared" si="22"/>
        <v>0</v>
      </c>
      <c r="BG60" s="8">
        <f t="shared" si="23"/>
        <v>14514</v>
      </c>
    </row>
    <row r="61" spans="1:59" s="12" customFormat="1" ht="12.75">
      <c r="A61" s="135"/>
      <c r="B61" s="136" t="s">
        <v>178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>
        <v>1458</v>
      </c>
      <c r="N61" s="13"/>
      <c r="O61" s="13"/>
      <c r="P61" s="13"/>
      <c r="Q61" s="13"/>
      <c r="R61" s="13"/>
      <c r="S61" s="13"/>
      <c r="T61" s="13"/>
      <c r="U61" s="13">
        <v>90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28">
        <f t="shared" si="24"/>
        <v>1548</v>
      </c>
      <c r="AY61" s="13"/>
      <c r="AZ61" s="13"/>
      <c r="BA61" s="13"/>
      <c r="BB61" s="13"/>
      <c r="BC61" s="128">
        <f t="shared" si="20"/>
        <v>0</v>
      </c>
      <c r="BD61" s="151">
        <f t="shared" si="21"/>
        <v>1548</v>
      </c>
      <c r="BE61" s="13">
        <v>4</v>
      </c>
      <c r="BF61" s="151">
        <f t="shared" si="22"/>
        <v>4</v>
      </c>
      <c r="BG61" s="8">
        <f t="shared" si="23"/>
        <v>1552</v>
      </c>
    </row>
    <row r="62" spans="1:59" s="12" customFormat="1" ht="12" customHeight="1">
      <c r="A62" s="137">
        <v>2</v>
      </c>
      <c r="B62" s="108" t="s">
        <v>2</v>
      </c>
      <c r="C62" s="92">
        <f>SUM(C63:C65)</f>
        <v>0</v>
      </c>
      <c r="D62" s="92">
        <f aca="true" t="shared" si="25" ref="D62:AW62">SUM(D63:D65)</f>
        <v>0</v>
      </c>
      <c r="E62" s="92">
        <f t="shared" si="25"/>
        <v>0</v>
      </c>
      <c r="F62" s="92">
        <f t="shared" si="25"/>
        <v>200</v>
      </c>
      <c r="G62" s="92">
        <f t="shared" si="25"/>
        <v>0</v>
      </c>
      <c r="H62" s="92">
        <f t="shared" si="25"/>
        <v>0</v>
      </c>
      <c r="I62" s="92">
        <f t="shared" si="25"/>
        <v>0</v>
      </c>
      <c r="J62" s="92">
        <f t="shared" si="25"/>
        <v>0</v>
      </c>
      <c r="K62" s="92">
        <f t="shared" si="25"/>
        <v>0</v>
      </c>
      <c r="L62" s="92">
        <f t="shared" si="25"/>
        <v>0</v>
      </c>
      <c r="M62" s="92">
        <f t="shared" si="25"/>
        <v>120771</v>
      </c>
      <c r="N62" s="92">
        <f t="shared" si="25"/>
        <v>0</v>
      </c>
      <c r="O62" s="92">
        <f t="shared" si="25"/>
        <v>0</v>
      </c>
      <c r="P62" s="92">
        <f t="shared" si="25"/>
        <v>0</v>
      </c>
      <c r="Q62" s="92">
        <f t="shared" si="25"/>
        <v>2641</v>
      </c>
      <c r="R62" s="92">
        <f t="shared" si="25"/>
        <v>0</v>
      </c>
      <c r="S62" s="92">
        <f t="shared" si="25"/>
        <v>0</v>
      </c>
      <c r="T62" s="92">
        <f t="shared" si="25"/>
        <v>0</v>
      </c>
      <c r="U62" s="92">
        <f t="shared" si="25"/>
        <v>0</v>
      </c>
      <c r="V62" s="92">
        <f t="shared" si="25"/>
        <v>0</v>
      </c>
      <c r="W62" s="92">
        <f t="shared" si="25"/>
        <v>0</v>
      </c>
      <c r="X62" s="92">
        <f t="shared" si="25"/>
        <v>0</v>
      </c>
      <c r="Y62" s="92">
        <f t="shared" si="25"/>
        <v>0</v>
      </c>
      <c r="Z62" s="92">
        <f t="shared" si="25"/>
        <v>0</v>
      </c>
      <c r="AA62" s="92">
        <f t="shared" si="25"/>
        <v>0</v>
      </c>
      <c r="AB62" s="92">
        <f t="shared" si="25"/>
        <v>0</v>
      </c>
      <c r="AC62" s="92">
        <f t="shared" si="25"/>
        <v>0</v>
      </c>
      <c r="AD62" s="92">
        <f t="shared" si="25"/>
        <v>0</v>
      </c>
      <c r="AE62" s="92">
        <f t="shared" si="25"/>
        <v>0</v>
      </c>
      <c r="AF62" s="92">
        <f t="shared" si="25"/>
        <v>0</v>
      </c>
      <c r="AG62" s="92">
        <f t="shared" si="25"/>
        <v>0</v>
      </c>
      <c r="AH62" s="92">
        <f t="shared" si="25"/>
        <v>0</v>
      </c>
      <c r="AI62" s="92">
        <f t="shared" si="25"/>
        <v>0</v>
      </c>
      <c r="AJ62" s="92">
        <f t="shared" si="25"/>
        <v>0</v>
      </c>
      <c r="AK62" s="92">
        <f t="shared" si="25"/>
        <v>0</v>
      </c>
      <c r="AL62" s="92">
        <f t="shared" si="25"/>
        <v>0</v>
      </c>
      <c r="AM62" s="92">
        <f t="shared" si="25"/>
        <v>0</v>
      </c>
      <c r="AN62" s="92">
        <f t="shared" si="25"/>
        <v>0</v>
      </c>
      <c r="AO62" s="92">
        <f t="shared" si="25"/>
        <v>0</v>
      </c>
      <c r="AP62" s="92">
        <f t="shared" si="25"/>
        <v>0</v>
      </c>
      <c r="AQ62" s="92">
        <f t="shared" si="25"/>
        <v>0</v>
      </c>
      <c r="AR62" s="92">
        <f t="shared" si="25"/>
        <v>0</v>
      </c>
      <c r="AS62" s="92">
        <f t="shared" si="25"/>
        <v>0</v>
      </c>
      <c r="AT62" s="92">
        <f t="shared" si="25"/>
        <v>0</v>
      </c>
      <c r="AU62" s="92">
        <f t="shared" si="25"/>
        <v>0</v>
      </c>
      <c r="AV62" s="92">
        <f t="shared" si="25"/>
        <v>101</v>
      </c>
      <c r="AW62" s="92">
        <f t="shared" si="25"/>
        <v>0</v>
      </c>
      <c r="AX62" s="92">
        <f>SUM(C62:AW62)</f>
        <v>123713</v>
      </c>
      <c r="AY62" s="92">
        <f>SUM(AY63:AY65)</f>
        <v>0</v>
      </c>
      <c r="AZ62" s="92">
        <f>SUM(AZ63:AZ65)</f>
        <v>0</v>
      </c>
      <c r="BA62" s="92">
        <f>SUM(BA63:BA65)</f>
        <v>0</v>
      </c>
      <c r="BB62" s="92">
        <f>SUM(BB63:BB65)</f>
        <v>0</v>
      </c>
      <c r="BC62" s="92">
        <f t="shared" si="20"/>
        <v>0</v>
      </c>
      <c r="BD62" s="150">
        <f>SUM(BD63:BD65)</f>
        <v>123713</v>
      </c>
      <c r="BE62" s="92">
        <f>SUM(BE63:BE65)</f>
        <v>0</v>
      </c>
      <c r="BF62" s="150">
        <f>SUM(BF63:BF65)</f>
        <v>0</v>
      </c>
      <c r="BG62" s="150">
        <f>SUM(BG63:BG65)</f>
        <v>123713</v>
      </c>
    </row>
    <row r="63" spans="1:59" s="7" customFormat="1" ht="12.75">
      <c r="A63" s="132"/>
      <c r="B63" s="133" t="s">
        <v>179</v>
      </c>
      <c r="C63" s="13"/>
      <c r="D63" s="13"/>
      <c r="E63" s="13"/>
      <c r="F63" s="13">
        <v>200</v>
      </c>
      <c r="G63" s="13"/>
      <c r="H63" s="13"/>
      <c r="I63" s="13"/>
      <c r="J63" s="13"/>
      <c r="K63" s="13"/>
      <c r="L63" s="13"/>
      <c r="M63" s="13">
        <v>116564</v>
      </c>
      <c r="N63" s="13"/>
      <c r="O63" s="13"/>
      <c r="P63" s="13"/>
      <c r="Q63" s="13">
        <v>177</v>
      </c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>
        <v>101</v>
      </c>
      <c r="AW63" s="13"/>
      <c r="AX63" s="128">
        <f t="shared" si="24"/>
        <v>117042</v>
      </c>
      <c r="AY63" s="13"/>
      <c r="AZ63" s="13"/>
      <c r="BA63" s="13"/>
      <c r="BB63" s="13"/>
      <c r="BC63" s="128">
        <f t="shared" si="20"/>
        <v>0</v>
      </c>
      <c r="BD63" s="151">
        <f t="shared" si="21"/>
        <v>117042</v>
      </c>
      <c r="BE63" s="13"/>
      <c r="BF63" s="151">
        <f t="shared" si="22"/>
        <v>0</v>
      </c>
      <c r="BG63" s="8">
        <f t="shared" si="23"/>
        <v>117042</v>
      </c>
    </row>
    <row r="64" spans="1:59" s="7" customFormat="1" ht="12.75">
      <c r="A64" s="134"/>
      <c r="B64" s="133" t="s">
        <v>180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>
        <v>3888</v>
      </c>
      <c r="N64" s="13"/>
      <c r="O64" s="13"/>
      <c r="P64" s="13"/>
      <c r="Q64" s="13">
        <v>2464</v>
      </c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28">
        <f t="shared" si="24"/>
        <v>6352</v>
      </c>
      <c r="AY64" s="13"/>
      <c r="AZ64" s="13"/>
      <c r="BA64" s="13"/>
      <c r="BB64" s="13"/>
      <c r="BC64" s="128">
        <f t="shared" si="20"/>
        <v>0</v>
      </c>
      <c r="BD64" s="151">
        <f t="shared" si="21"/>
        <v>6352</v>
      </c>
      <c r="BE64" s="13"/>
      <c r="BF64" s="151">
        <f t="shared" si="22"/>
        <v>0</v>
      </c>
      <c r="BG64" s="8">
        <f t="shared" si="23"/>
        <v>6352</v>
      </c>
    </row>
    <row r="65" spans="1:59" s="7" customFormat="1" ht="12.75">
      <c r="A65" s="134"/>
      <c r="B65" s="133" t="s">
        <v>181</v>
      </c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>
        <v>319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28">
        <f t="shared" si="24"/>
        <v>319</v>
      </c>
      <c r="AY65" s="13"/>
      <c r="AZ65" s="13"/>
      <c r="BA65" s="13"/>
      <c r="BB65" s="13"/>
      <c r="BC65" s="128">
        <f t="shared" si="20"/>
        <v>0</v>
      </c>
      <c r="BD65" s="151">
        <f t="shared" si="21"/>
        <v>319</v>
      </c>
      <c r="BE65" s="13"/>
      <c r="BF65" s="151">
        <f t="shared" si="22"/>
        <v>0</v>
      </c>
      <c r="BG65" s="8">
        <f t="shared" si="23"/>
        <v>319</v>
      </c>
    </row>
    <row r="66" spans="1:59" s="7" customFormat="1" ht="12" customHeight="1">
      <c r="A66" s="131">
        <v>3</v>
      </c>
      <c r="B66" s="108" t="s">
        <v>197</v>
      </c>
      <c r="C66" s="31">
        <f>SUM(C67:C68)</f>
        <v>0</v>
      </c>
      <c r="D66" s="31">
        <f aca="true" t="shared" si="26" ref="D66:AW66">SUM(D67:D68)</f>
        <v>0</v>
      </c>
      <c r="E66" s="31">
        <f t="shared" si="26"/>
        <v>0</v>
      </c>
      <c r="F66" s="31">
        <f t="shared" si="26"/>
        <v>0</v>
      </c>
      <c r="G66" s="31"/>
      <c r="H66" s="31">
        <f t="shared" si="26"/>
        <v>0</v>
      </c>
      <c r="I66" s="31">
        <f t="shared" si="26"/>
        <v>0</v>
      </c>
      <c r="J66" s="31">
        <f t="shared" si="26"/>
        <v>0</v>
      </c>
      <c r="K66" s="31">
        <f t="shared" si="26"/>
        <v>0</v>
      </c>
      <c r="L66" s="31">
        <f t="shared" si="26"/>
        <v>0</v>
      </c>
      <c r="M66" s="31">
        <f t="shared" si="26"/>
        <v>0</v>
      </c>
      <c r="N66" s="31">
        <f t="shared" si="26"/>
        <v>0</v>
      </c>
      <c r="O66" s="31">
        <f t="shared" si="26"/>
        <v>0</v>
      </c>
      <c r="P66" s="31">
        <f t="shared" si="26"/>
        <v>0</v>
      </c>
      <c r="Q66" s="31">
        <f t="shared" si="26"/>
        <v>0</v>
      </c>
      <c r="R66" s="31">
        <f t="shared" si="26"/>
        <v>0</v>
      </c>
      <c r="S66" s="31">
        <f t="shared" si="26"/>
        <v>0</v>
      </c>
      <c r="T66" s="31">
        <f t="shared" si="26"/>
        <v>0</v>
      </c>
      <c r="U66" s="31">
        <f t="shared" si="26"/>
        <v>0</v>
      </c>
      <c r="V66" s="31">
        <f t="shared" si="26"/>
        <v>0</v>
      </c>
      <c r="W66" s="31">
        <f t="shared" si="26"/>
        <v>0</v>
      </c>
      <c r="X66" s="31">
        <f t="shared" si="26"/>
        <v>0</v>
      </c>
      <c r="Y66" s="31">
        <f t="shared" si="26"/>
        <v>0</v>
      </c>
      <c r="Z66" s="31">
        <f t="shared" si="26"/>
        <v>0</v>
      </c>
      <c r="AA66" s="31">
        <f t="shared" si="26"/>
        <v>0</v>
      </c>
      <c r="AB66" s="31">
        <f t="shared" si="26"/>
        <v>0</v>
      </c>
      <c r="AC66" s="31">
        <f t="shared" si="26"/>
        <v>0</v>
      </c>
      <c r="AD66" s="31">
        <f t="shared" si="26"/>
        <v>0</v>
      </c>
      <c r="AE66" s="31">
        <f t="shared" si="26"/>
        <v>0</v>
      </c>
      <c r="AF66" s="31">
        <f t="shared" si="26"/>
        <v>0</v>
      </c>
      <c r="AG66" s="31">
        <f t="shared" si="26"/>
        <v>0</v>
      </c>
      <c r="AH66" s="31">
        <f t="shared" si="26"/>
        <v>0</v>
      </c>
      <c r="AI66" s="31">
        <f t="shared" si="26"/>
        <v>0</v>
      </c>
      <c r="AJ66" s="31">
        <f t="shared" si="26"/>
        <v>0</v>
      </c>
      <c r="AK66" s="31">
        <f t="shared" si="26"/>
        <v>0</v>
      </c>
      <c r="AL66" s="31">
        <f t="shared" si="26"/>
        <v>0</v>
      </c>
      <c r="AM66" s="31">
        <f t="shared" si="26"/>
        <v>0</v>
      </c>
      <c r="AN66" s="31">
        <f t="shared" si="26"/>
        <v>0</v>
      </c>
      <c r="AO66" s="31">
        <f t="shared" si="26"/>
        <v>0</v>
      </c>
      <c r="AP66" s="31">
        <f t="shared" si="26"/>
        <v>0</v>
      </c>
      <c r="AQ66" s="31">
        <f t="shared" si="26"/>
        <v>0</v>
      </c>
      <c r="AR66" s="31">
        <f t="shared" si="26"/>
        <v>0</v>
      </c>
      <c r="AS66" s="31">
        <f t="shared" si="26"/>
        <v>0</v>
      </c>
      <c r="AT66" s="31">
        <f t="shared" si="26"/>
        <v>0</v>
      </c>
      <c r="AU66" s="31">
        <f t="shared" si="26"/>
        <v>0</v>
      </c>
      <c r="AV66" s="31">
        <f t="shared" si="26"/>
        <v>0</v>
      </c>
      <c r="AW66" s="31">
        <f t="shared" si="26"/>
        <v>0</v>
      </c>
      <c r="AX66" s="92">
        <f>SUM(C66:AW66)</f>
        <v>0</v>
      </c>
      <c r="AY66" s="31">
        <f>SUM(AY67:AY68)</f>
        <v>0</v>
      </c>
      <c r="AZ66" s="31">
        <f>SUM(AZ67:AZ68)</f>
        <v>0</v>
      </c>
      <c r="BA66" s="31">
        <f>SUM(BA67:BA68)</f>
        <v>0</v>
      </c>
      <c r="BB66" s="31">
        <f>SUM(BB67:BB68)</f>
        <v>0</v>
      </c>
      <c r="BC66" s="92">
        <f t="shared" si="20"/>
        <v>0</v>
      </c>
      <c r="BD66" s="150">
        <f>SUM(BD67:BD68)</f>
        <v>0</v>
      </c>
      <c r="BE66" s="31">
        <f>SUM(BE67:BE68)</f>
        <v>0</v>
      </c>
      <c r="BF66" s="150">
        <f>SUM(BF67:BF68)</f>
        <v>0</v>
      </c>
      <c r="BG66" s="150">
        <f>SUM(BG67:BG68)</f>
        <v>0</v>
      </c>
    </row>
    <row r="67" spans="1:59" s="7" customFormat="1" ht="12.75">
      <c r="A67" s="132"/>
      <c r="B67" s="133" t="s">
        <v>183</v>
      </c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28">
        <f t="shared" si="24"/>
        <v>0</v>
      </c>
      <c r="AY67" s="13"/>
      <c r="AZ67" s="13"/>
      <c r="BA67" s="13"/>
      <c r="BB67" s="13"/>
      <c r="BC67" s="128">
        <f t="shared" si="20"/>
        <v>0</v>
      </c>
      <c r="BD67" s="151">
        <f t="shared" si="21"/>
        <v>0</v>
      </c>
      <c r="BE67" s="13"/>
      <c r="BF67" s="151">
        <f>BE67</f>
        <v>0</v>
      </c>
      <c r="BG67" s="8">
        <f>BD67+BF67</f>
        <v>0</v>
      </c>
    </row>
    <row r="68" spans="1:59" s="7" customFormat="1" ht="12.75">
      <c r="A68" s="134"/>
      <c r="B68" s="133" t="s">
        <v>184</v>
      </c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28">
        <f t="shared" si="24"/>
        <v>0</v>
      </c>
      <c r="AY68" s="13"/>
      <c r="AZ68" s="13"/>
      <c r="BA68" s="13"/>
      <c r="BB68" s="13"/>
      <c r="BC68" s="128">
        <f t="shared" si="20"/>
        <v>0</v>
      </c>
      <c r="BD68" s="151">
        <f t="shared" si="21"/>
        <v>0</v>
      </c>
      <c r="BE68" s="13"/>
      <c r="BF68" s="151">
        <f>BE68</f>
        <v>0</v>
      </c>
      <c r="BG68" s="8">
        <f>BD68+BF68</f>
        <v>0</v>
      </c>
    </row>
    <row r="69" spans="1:59" s="5" customFormat="1" ht="18">
      <c r="A69" s="138"/>
      <c r="B69" s="127" t="s">
        <v>0</v>
      </c>
      <c r="C69" s="93">
        <f>C55+C62+C66</f>
        <v>5516</v>
      </c>
      <c r="D69" s="93">
        <f aca="true" t="shared" si="27" ref="D69:BF69">D55+D62+D66</f>
        <v>0</v>
      </c>
      <c r="E69" s="93">
        <f t="shared" si="27"/>
        <v>441</v>
      </c>
      <c r="F69" s="93">
        <f t="shared" si="27"/>
        <v>19669</v>
      </c>
      <c r="G69" s="93">
        <f t="shared" si="27"/>
        <v>33</v>
      </c>
      <c r="H69" s="93">
        <f t="shared" si="27"/>
        <v>47</v>
      </c>
      <c r="I69" s="93">
        <f t="shared" si="27"/>
        <v>134</v>
      </c>
      <c r="J69" s="93">
        <f t="shared" si="27"/>
        <v>187</v>
      </c>
      <c r="K69" s="93">
        <f t="shared" si="27"/>
        <v>6672</v>
      </c>
      <c r="L69" s="93">
        <f t="shared" si="27"/>
        <v>21</v>
      </c>
      <c r="M69" s="93">
        <f t="shared" si="27"/>
        <v>180196</v>
      </c>
      <c r="N69" s="93">
        <f t="shared" si="27"/>
        <v>1958</v>
      </c>
      <c r="O69" s="93">
        <f t="shared" si="27"/>
        <v>7</v>
      </c>
      <c r="P69" s="93">
        <f t="shared" si="27"/>
        <v>5262</v>
      </c>
      <c r="Q69" s="93">
        <f t="shared" si="27"/>
        <v>4516</v>
      </c>
      <c r="R69" s="93">
        <f t="shared" si="27"/>
        <v>0</v>
      </c>
      <c r="S69" s="93">
        <f t="shared" si="27"/>
        <v>0</v>
      </c>
      <c r="T69" s="93">
        <f t="shared" si="27"/>
        <v>0</v>
      </c>
      <c r="U69" s="93">
        <f t="shared" si="27"/>
        <v>90</v>
      </c>
      <c r="V69" s="93">
        <f t="shared" si="27"/>
        <v>2862</v>
      </c>
      <c r="W69" s="93">
        <f t="shared" si="27"/>
        <v>6567</v>
      </c>
      <c r="X69" s="93">
        <f t="shared" si="27"/>
        <v>607</v>
      </c>
      <c r="Y69" s="93">
        <f t="shared" si="27"/>
        <v>1536</v>
      </c>
      <c r="Z69" s="93">
        <f t="shared" si="27"/>
        <v>0</v>
      </c>
      <c r="AA69" s="93">
        <f t="shared" si="27"/>
        <v>2586</v>
      </c>
      <c r="AB69" s="93">
        <f t="shared" si="27"/>
        <v>335</v>
      </c>
      <c r="AC69" s="93">
        <f t="shared" si="27"/>
        <v>1117</v>
      </c>
      <c r="AD69" s="93">
        <f t="shared" si="27"/>
        <v>0</v>
      </c>
      <c r="AE69" s="93">
        <f t="shared" si="27"/>
        <v>0</v>
      </c>
      <c r="AF69" s="93">
        <f t="shared" si="27"/>
        <v>0</v>
      </c>
      <c r="AG69" s="93">
        <f t="shared" si="27"/>
        <v>122</v>
      </c>
      <c r="AH69" s="93">
        <f t="shared" si="27"/>
        <v>75</v>
      </c>
      <c r="AI69" s="93">
        <f t="shared" si="27"/>
        <v>5</v>
      </c>
      <c r="AJ69" s="93">
        <f t="shared" si="27"/>
        <v>115</v>
      </c>
      <c r="AK69" s="93">
        <f t="shared" si="27"/>
        <v>0</v>
      </c>
      <c r="AL69" s="93">
        <f t="shared" si="27"/>
        <v>137</v>
      </c>
      <c r="AM69" s="93">
        <f t="shared" si="27"/>
        <v>73</v>
      </c>
      <c r="AN69" s="93">
        <f t="shared" si="27"/>
        <v>1545</v>
      </c>
      <c r="AO69" s="93">
        <f t="shared" si="27"/>
        <v>1729</v>
      </c>
      <c r="AP69" s="93">
        <f t="shared" si="27"/>
        <v>240</v>
      </c>
      <c r="AQ69" s="93">
        <f t="shared" si="27"/>
        <v>0</v>
      </c>
      <c r="AR69" s="93">
        <f t="shared" si="27"/>
        <v>3048</v>
      </c>
      <c r="AS69" s="93">
        <f t="shared" si="27"/>
        <v>0</v>
      </c>
      <c r="AT69" s="93">
        <f t="shared" si="27"/>
        <v>484</v>
      </c>
      <c r="AU69" s="93">
        <f t="shared" si="27"/>
        <v>295</v>
      </c>
      <c r="AV69" s="93">
        <f t="shared" si="27"/>
        <v>2652</v>
      </c>
      <c r="AW69" s="93">
        <f t="shared" si="27"/>
        <v>17</v>
      </c>
      <c r="AX69" s="93">
        <f t="shared" si="27"/>
        <v>250896</v>
      </c>
      <c r="AY69" s="93">
        <f t="shared" si="27"/>
        <v>0</v>
      </c>
      <c r="AZ69" s="93">
        <f>AZ55+AZ62+AZ66</f>
        <v>613</v>
      </c>
      <c r="BA69" s="93">
        <f>BA55+BA62+BA66</f>
        <v>23512</v>
      </c>
      <c r="BB69" s="93">
        <f>BB55+BB62+BB66</f>
        <v>655</v>
      </c>
      <c r="BC69" s="93">
        <f t="shared" si="27"/>
        <v>24780</v>
      </c>
      <c r="BD69" s="6">
        <f t="shared" si="27"/>
        <v>275676</v>
      </c>
      <c r="BE69" s="93">
        <f t="shared" si="27"/>
        <v>113</v>
      </c>
      <c r="BF69" s="6">
        <f t="shared" si="27"/>
        <v>113</v>
      </c>
      <c r="BG69" s="33">
        <f>BG55+BG62+BG66</f>
        <v>275789</v>
      </c>
    </row>
    <row r="71" spans="1:59" s="5" customFormat="1" ht="16.5" customHeight="1">
      <c r="A71" s="139"/>
      <c r="B71" s="140" t="s">
        <v>82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34">
        <f>BG50-BG69</f>
        <v>-75718</v>
      </c>
    </row>
    <row r="72" spans="1:60" s="7" customFormat="1" ht="32.25" customHeight="1">
      <c r="A72" s="32"/>
      <c r="B72" s="30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6"/>
      <c r="AY72" s="35"/>
      <c r="AZ72" s="35"/>
      <c r="BA72" s="35"/>
      <c r="BB72" s="35"/>
      <c r="BC72" s="36"/>
      <c r="BD72" s="36"/>
      <c r="BE72" s="35"/>
      <c r="BF72" s="36"/>
      <c r="BG72" s="37"/>
      <c r="BH72" s="159"/>
    </row>
    <row r="73" spans="1:60" s="5" customFormat="1" ht="19.5" customHeight="1" thickBot="1">
      <c r="A73" s="46"/>
      <c r="B73" s="38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40"/>
      <c r="BH73" s="159"/>
    </row>
    <row r="74" spans="1:60" s="12" customFormat="1" ht="16.5" customHeight="1">
      <c r="A74" s="54"/>
      <c r="B74" s="60" t="s">
        <v>84</v>
      </c>
      <c r="C74" s="158">
        <f>SUM(C75:C76)</f>
        <v>0</v>
      </c>
      <c r="D74" s="158">
        <f aca="true" t="shared" si="28" ref="D74:BG74">SUM(D75:D76)</f>
        <v>0</v>
      </c>
      <c r="E74" s="158">
        <f t="shared" si="28"/>
        <v>0</v>
      </c>
      <c r="F74" s="158">
        <f t="shared" si="28"/>
        <v>374</v>
      </c>
      <c r="G74" s="158"/>
      <c r="H74" s="158">
        <f t="shared" si="28"/>
        <v>0</v>
      </c>
      <c r="I74" s="158">
        <f t="shared" si="28"/>
        <v>0</v>
      </c>
      <c r="J74" s="158">
        <f t="shared" si="28"/>
        <v>0</v>
      </c>
      <c r="K74" s="158">
        <f t="shared" si="28"/>
        <v>0</v>
      </c>
      <c r="L74" s="158">
        <f t="shared" si="28"/>
        <v>0</v>
      </c>
      <c r="M74" s="158">
        <f t="shared" si="28"/>
        <v>87916</v>
      </c>
      <c r="N74" s="158">
        <f t="shared" si="28"/>
        <v>0</v>
      </c>
      <c r="O74" s="158">
        <f t="shared" si="28"/>
        <v>0</v>
      </c>
      <c r="P74" s="158">
        <f t="shared" si="28"/>
        <v>0</v>
      </c>
      <c r="Q74" s="158">
        <f t="shared" si="28"/>
        <v>5</v>
      </c>
      <c r="R74" s="158">
        <f t="shared" si="28"/>
        <v>0</v>
      </c>
      <c r="S74" s="158">
        <f t="shared" si="28"/>
        <v>0</v>
      </c>
      <c r="T74" s="158">
        <f t="shared" si="28"/>
        <v>10003</v>
      </c>
      <c r="U74" s="158">
        <f t="shared" si="28"/>
        <v>0</v>
      </c>
      <c r="V74" s="158">
        <f t="shared" si="28"/>
        <v>5</v>
      </c>
      <c r="W74" s="158">
        <f t="shared" si="28"/>
        <v>0</v>
      </c>
      <c r="X74" s="158">
        <f t="shared" si="28"/>
        <v>0</v>
      </c>
      <c r="Y74" s="158">
        <f t="shared" si="28"/>
        <v>0</v>
      </c>
      <c r="Z74" s="158">
        <f t="shared" si="28"/>
        <v>0</v>
      </c>
      <c r="AA74" s="158">
        <f t="shared" si="28"/>
        <v>0</v>
      </c>
      <c r="AB74" s="158">
        <f t="shared" si="28"/>
        <v>0</v>
      </c>
      <c r="AC74" s="158">
        <f t="shared" si="28"/>
        <v>0</v>
      </c>
      <c r="AD74" s="158">
        <f t="shared" si="28"/>
        <v>0</v>
      </c>
      <c r="AE74" s="158">
        <f t="shared" si="28"/>
        <v>0</v>
      </c>
      <c r="AF74" s="158">
        <f t="shared" si="28"/>
        <v>0</v>
      </c>
      <c r="AG74" s="158">
        <f t="shared" si="28"/>
        <v>0</v>
      </c>
      <c r="AH74" s="158">
        <f t="shared" si="28"/>
        <v>0</v>
      </c>
      <c r="AI74" s="158">
        <f t="shared" si="28"/>
        <v>0</v>
      </c>
      <c r="AJ74" s="158">
        <f t="shared" si="28"/>
        <v>0</v>
      </c>
      <c r="AK74" s="158">
        <f t="shared" si="28"/>
        <v>0</v>
      </c>
      <c r="AL74" s="158">
        <f t="shared" si="28"/>
        <v>0</v>
      </c>
      <c r="AM74" s="158">
        <f t="shared" si="28"/>
        <v>73</v>
      </c>
      <c r="AN74" s="158">
        <f t="shared" si="28"/>
        <v>0</v>
      </c>
      <c r="AO74" s="158">
        <f t="shared" si="28"/>
        <v>0</v>
      </c>
      <c r="AP74" s="158">
        <f t="shared" si="28"/>
        <v>0</v>
      </c>
      <c r="AQ74" s="158">
        <f t="shared" si="28"/>
        <v>0</v>
      </c>
      <c r="AR74" s="158">
        <f t="shared" si="28"/>
        <v>0</v>
      </c>
      <c r="AS74" s="158">
        <f t="shared" si="28"/>
        <v>0</v>
      </c>
      <c r="AT74" s="158">
        <f t="shared" si="28"/>
        <v>0</v>
      </c>
      <c r="AU74" s="158">
        <f t="shared" si="28"/>
        <v>0</v>
      </c>
      <c r="AV74" s="158">
        <f t="shared" si="28"/>
        <v>0</v>
      </c>
      <c r="AW74" s="158">
        <f t="shared" si="28"/>
        <v>0</v>
      </c>
      <c r="AX74" s="158">
        <f t="shared" si="28"/>
        <v>98376</v>
      </c>
      <c r="AY74" s="158">
        <f t="shared" si="28"/>
        <v>0</v>
      </c>
      <c r="AZ74" s="158">
        <f t="shared" si="28"/>
        <v>0</v>
      </c>
      <c r="BA74" s="158">
        <f t="shared" si="28"/>
        <v>0</v>
      </c>
      <c r="BB74" s="158">
        <f t="shared" si="28"/>
        <v>0</v>
      </c>
      <c r="BC74" s="158">
        <f t="shared" si="28"/>
        <v>0</v>
      </c>
      <c r="BD74" s="158">
        <f t="shared" si="28"/>
        <v>98376</v>
      </c>
      <c r="BE74" s="158">
        <f t="shared" si="28"/>
        <v>89</v>
      </c>
      <c r="BF74" s="158">
        <f t="shared" si="28"/>
        <v>89</v>
      </c>
      <c r="BG74" s="158">
        <f t="shared" si="28"/>
        <v>98465</v>
      </c>
      <c r="BH74" s="160"/>
    </row>
    <row r="75" spans="1:60" s="12" customFormat="1" ht="15">
      <c r="A75" s="55"/>
      <c r="B75" s="9" t="s">
        <v>62</v>
      </c>
      <c r="C75" s="13"/>
      <c r="D75" s="13"/>
      <c r="E75" s="13"/>
      <c r="F75" s="13">
        <v>374</v>
      </c>
      <c r="G75" s="13"/>
      <c r="H75" s="13"/>
      <c r="I75" s="13"/>
      <c r="J75" s="13"/>
      <c r="K75" s="13"/>
      <c r="L75" s="13"/>
      <c r="M75" s="13">
        <v>56259</v>
      </c>
      <c r="N75" s="13"/>
      <c r="O75" s="13"/>
      <c r="P75" s="13"/>
      <c r="Q75" s="13">
        <v>5</v>
      </c>
      <c r="R75" s="13"/>
      <c r="S75" s="13"/>
      <c r="T75" s="13">
        <v>10003</v>
      </c>
      <c r="U75" s="13"/>
      <c r="V75" s="13">
        <v>5</v>
      </c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>
        <v>73</v>
      </c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28">
        <f>SUM(C75:AW75)</f>
        <v>66719</v>
      </c>
      <c r="AY75" s="13"/>
      <c r="AZ75" s="13"/>
      <c r="BA75" s="13"/>
      <c r="BB75" s="13"/>
      <c r="BC75" s="128">
        <f>SUM(AY75:BB75)</f>
        <v>0</v>
      </c>
      <c r="BD75" s="151">
        <f>AX75+BC75</f>
        <v>66719</v>
      </c>
      <c r="BE75" s="13">
        <v>89</v>
      </c>
      <c r="BF75" s="151">
        <f>BE75</f>
        <v>89</v>
      </c>
      <c r="BG75" s="8">
        <f>BD75+BF75</f>
        <v>66808</v>
      </c>
      <c r="BH75" s="161"/>
    </row>
    <row r="76" spans="2:60" s="10" customFormat="1" ht="11.25" customHeight="1">
      <c r="B76" s="9" t="s">
        <v>61</v>
      </c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>
        <v>31657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28">
        <f>SUM(C76:AW76)</f>
        <v>31657</v>
      </c>
      <c r="AY76" s="13"/>
      <c r="AZ76" s="13"/>
      <c r="BA76" s="13"/>
      <c r="BB76" s="13"/>
      <c r="BC76" s="128">
        <f>SUM(AY76:BB76)</f>
        <v>0</v>
      </c>
      <c r="BD76" s="151">
        <f>AX76+BC76</f>
        <v>31657</v>
      </c>
      <c r="BE76" s="13"/>
      <c r="BF76" s="151">
        <f>BE76</f>
        <v>0</v>
      </c>
      <c r="BG76" s="8">
        <f>BD76+BF76</f>
        <v>31657</v>
      </c>
      <c r="BH76" s="160"/>
    </row>
    <row r="77" spans="2:59" s="10" customFormat="1" ht="21.75" customHeight="1"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91"/>
      <c r="AY77" s="42"/>
      <c r="AZ77" s="42"/>
      <c r="BA77" s="42"/>
      <c r="BB77" s="42"/>
      <c r="BC77" s="36"/>
      <c r="BD77" s="36"/>
      <c r="BE77" s="42"/>
      <c r="BF77" s="36"/>
      <c r="BG77" s="37"/>
    </row>
    <row r="78" spans="1:59" s="5" customFormat="1" ht="19.5" customHeight="1" thickBot="1">
      <c r="A78" s="46"/>
      <c r="B78" s="38" t="s">
        <v>85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40"/>
    </row>
    <row r="79" spans="1:59" s="12" customFormat="1" ht="30" customHeight="1">
      <c r="A79" s="54"/>
      <c r="B79" s="61" t="s">
        <v>145</v>
      </c>
      <c r="C79" s="24">
        <f>SUM(C80:C82)</f>
        <v>0</v>
      </c>
      <c r="D79" s="24">
        <f aca="true" t="shared" si="29" ref="D79:BG79">SUM(D80:D82)</f>
        <v>0</v>
      </c>
      <c r="E79" s="24">
        <f t="shared" si="29"/>
        <v>0</v>
      </c>
      <c r="F79" s="24">
        <f t="shared" si="29"/>
        <v>0</v>
      </c>
      <c r="G79" s="24"/>
      <c r="H79" s="24">
        <f t="shared" si="29"/>
        <v>0</v>
      </c>
      <c r="I79" s="24">
        <f t="shared" si="29"/>
        <v>0</v>
      </c>
      <c r="J79" s="24">
        <f t="shared" si="29"/>
        <v>0</v>
      </c>
      <c r="K79" s="24">
        <f t="shared" si="29"/>
        <v>0</v>
      </c>
      <c r="L79" s="24">
        <f t="shared" si="29"/>
        <v>0</v>
      </c>
      <c r="M79" s="24">
        <f t="shared" si="29"/>
        <v>0</v>
      </c>
      <c r="N79" s="24">
        <f t="shared" si="29"/>
        <v>0</v>
      </c>
      <c r="O79" s="24">
        <f t="shared" si="29"/>
        <v>0</v>
      </c>
      <c r="P79" s="24">
        <f t="shared" si="29"/>
        <v>0</v>
      </c>
      <c r="Q79" s="24">
        <f t="shared" si="29"/>
        <v>0</v>
      </c>
      <c r="R79" s="24">
        <f t="shared" si="29"/>
        <v>0</v>
      </c>
      <c r="S79" s="24">
        <f t="shared" si="29"/>
        <v>28743</v>
      </c>
      <c r="T79" s="24">
        <f t="shared" si="29"/>
        <v>0</v>
      </c>
      <c r="U79" s="24">
        <f t="shared" si="29"/>
        <v>0</v>
      </c>
      <c r="V79" s="24">
        <f t="shared" si="29"/>
        <v>0</v>
      </c>
      <c r="W79" s="24">
        <f t="shared" si="29"/>
        <v>0</v>
      </c>
      <c r="X79" s="24">
        <f t="shared" si="29"/>
        <v>0</v>
      </c>
      <c r="Y79" s="24">
        <f t="shared" si="29"/>
        <v>0</v>
      </c>
      <c r="Z79" s="24">
        <f t="shared" si="29"/>
        <v>0</v>
      </c>
      <c r="AA79" s="24">
        <f t="shared" si="29"/>
        <v>0</v>
      </c>
      <c r="AB79" s="24">
        <f t="shared" si="29"/>
        <v>0</v>
      </c>
      <c r="AC79" s="24">
        <f t="shared" si="29"/>
        <v>0</v>
      </c>
      <c r="AD79" s="24">
        <f t="shared" si="29"/>
        <v>0</v>
      </c>
      <c r="AE79" s="24">
        <f t="shared" si="29"/>
        <v>0</v>
      </c>
      <c r="AF79" s="24">
        <f t="shared" si="29"/>
        <v>0</v>
      </c>
      <c r="AG79" s="24">
        <f t="shared" si="29"/>
        <v>0</v>
      </c>
      <c r="AH79" s="24">
        <f t="shared" si="29"/>
        <v>0</v>
      </c>
      <c r="AI79" s="24">
        <f t="shared" si="29"/>
        <v>0</v>
      </c>
      <c r="AJ79" s="24">
        <f t="shared" si="29"/>
        <v>0</v>
      </c>
      <c r="AK79" s="24">
        <f t="shared" si="29"/>
        <v>0</v>
      </c>
      <c r="AL79" s="24">
        <f t="shared" si="29"/>
        <v>0</v>
      </c>
      <c r="AM79" s="24">
        <f t="shared" si="29"/>
        <v>0</v>
      </c>
      <c r="AN79" s="24">
        <f t="shared" si="29"/>
        <v>0</v>
      </c>
      <c r="AO79" s="24">
        <f t="shared" si="29"/>
        <v>0</v>
      </c>
      <c r="AP79" s="24">
        <f t="shared" si="29"/>
        <v>0</v>
      </c>
      <c r="AQ79" s="24">
        <f t="shared" si="29"/>
        <v>0</v>
      </c>
      <c r="AR79" s="24">
        <f t="shared" si="29"/>
        <v>0</v>
      </c>
      <c r="AS79" s="24">
        <f t="shared" si="29"/>
        <v>0</v>
      </c>
      <c r="AT79" s="24">
        <f t="shared" si="29"/>
        <v>0</v>
      </c>
      <c r="AU79" s="24">
        <f t="shared" si="29"/>
        <v>0</v>
      </c>
      <c r="AV79" s="24">
        <f t="shared" si="29"/>
        <v>0</v>
      </c>
      <c r="AW79" s="24">
        <f t="shared" si="29"/>
        <v>0</v>
      </c>
      <c r="AX79" s="24">
        <f t="shared" si="29"/>
        <v>28743</v>
      </c>
      <c r="AY79" s="24">
        <f t="shared" si="29"/>
        <v>0</v>
      </c>
      <c r="AZ79" s="24">
        <f t="shared" si="29"/>
        <v>0</v>
      </c>
      <c r="BA79" s="24">
        <f t="shared" si="29"/>
        <v>0</v>
      </c>
      <c r="BB79" s="24">
        <f t="shared" si="29"/>
        <v>0</v>
      </c>
      <c r="BC79" s="24">
        <f t="shared" si="29"/>
        <v>0</v>
      </c>
      <c r="BD79" s="24">
        <f t="shared" si="29"/>
        <v>28743</v>
      </c>
      <c r="BE79" s="24">
        <f t="shared" si="29"/>
        <v>0</v>
      </c>
      <c r="BF79" s="24">
        <f t="shared" si="29"/>
        <v>0</v>
      </c>
      <c r="BG79" s="24">
        <f t="shared" si="29"/>
        <v>28743</v>
      </c>
    </row>
    <row r="80" spans="1:59" s="7" customFormat="1" ht="12.75">
      <c r="A80" s="32"/>
      <c r="B80" s="62" t="s">
        <v>67</v>
      </c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28">
        <f>SUM(C80:AW80)</f>
        <v>0</v>
      </c>
      <c r="AY80" s="13"/>
      <c r="AZ80" s="13"/>
      <c r="BA80" s="13"/>
      <c r="BB80" s="13"/>
      <c r="BC80" s="128">
        <f>SUM(AY80:BB80)</f>
        <v>0</v>
      </c>
      <c r="BD80" s="151">
        <f>AX80+BC80</f>
        <v>0</v>
      </c>
      <c r="BE80" s="13"/>
      <c r="BF80" s="151">
        <f>BE80</f>
        <v>0</v>
      </c>
      <c r="BG80" s="8">
        <f>BD80+BF80</f>
        <v>0</v>
      </c>
    </row>
    <row r="81" spans="1:59" s="7" customFormat="1" ht="12.75">
      <c r="A81" s="32"/>
      <c r="B81" s="62" t="s">
        <v>66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28">
        <f>SUM(C81:AW81)</f>
        <v>0</v>
      </c>
      <c r="AY81" s="13"/>
      <c r="AZ81" s="13"/>
      <c r="BA81" s="13"/>
      <c r="BB81" s="13"/>
      <c r="BC81" s="128">
        <f>SUM(AY81:BB81)</f>
        <v>0</v>
      </c>
      <c r="BD81" s="151">
        <f>AX81+BC81</f>
        <v>0</v>
      </c>
      <c r="BE81" s="13"/>
      <c r="BF81" s="151">
        <f>BE81</f>
        <v>0</v>
      </c>
      <c r="BG81" s="8">
        <f>BD81+BF81</f>
        <v>0</v>
      </c>
    </row>
    <row r="82" spans="1:59" s="7" customFormat="1" ht="12.75">
      <c r="A82" s="32"/>
      <c r="B82" s="63" t="s">
        <v>65</v>
      </c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>
        <v>28743</v>
      </c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28">
        <f>SUM(C82:AW82)</f>
        <v>28743</v>
      </c>
      <c r="AY82" s="13"/>
      <c r="AZ82" s="13"/>
      <c r="BA82" s="13"/>
      <c r="BB82" s="13"/>
      <c r="BC82" s="128">
        <f>SUM(AY82:BB82)</f>
        <v>0</v>
      </c>
      <c r="BD82" s="151">
        <f>AX82+BC82</f>
        <v>28743</v>
      </c>
      <c r="BE82" s="13"/>
      <c r="BF82" s="151">
        <f>BE82</f>
        <v>0</v>
      </c>
      <c r="BG82" s="8">
        <f>BD82+BF82</f>
        <v>28743</v>
      </c>
    </row>
    <row r="83" spans="1:59" s="5" customFormat="1" ht="52.5" customHeight="1">
      <c r="A83" s="56"/>
      <c r="B83" s="57" t="s">
        <v>86</v>
      </c>
      <c r="C83" s="142">
        <f>C79+C74+C50</f>
        <v>5231</v>
      </c>
      <c r="D83" s="142">
        <f aca="true" t="shared" si="30" ref="D83:BE83">D79+D74+D50</f>
        <v>0</v>
      </c>
      <c r="E83" s="142">
        <f t="shared" si="30"/>
        <v>0</v>
      </c>
      <c r="F83" s="142">
        <f t="shared" si="30"/>
        <v>9354</v>
      </c>
      <c r="G83" s="142">
        <f t="shared" si="30"/>
        <v>0</v>
      </c>
      <c r="H83" s="142">
        <f t="shared" si="30"/>
        <v>644</v>
      </c>
      <c r="I83" s="142">
        <f t="shared" si="30"/>
        <v>1121</v>
      </c>
      <c r="J83" s="142">
        <f t="shared" si="30"/>
        <v>0</v>
      </c>
      <c r="K83" s="142">
        <f t="shared" si="30"/>
        <v>107</v>
      </c>
      <c r="L83" s="142">
        <f t="shared" si="30"/>
        <v>21</v>
      </c>
      <c r="M83" s="142">
        <f t="shared" si="30"/>
        <v>138113</v>
      </c>
      <c r="N83" s="142">
        <f t="shared" si="30"/>
        <v>0</v>
      </c>
      <c r="O83" s="142">
        <f t="shared" si="30"/>
        <v>0</v>
      </c>
      <c r="P83" s="142">
        <f t="shared" si="30"/>
        <v>0</v>
      </c>
      <c r="Q83" s="142">
        <f t="shared" si="30"/>
        <v>5</v>
      </c>
      <c r="R83" s="142">
        <f t="shared" si="30"/>
        <v>126924</v>
      </c>
      <c r="S83" s="142">
        <f t="shared" si="30"/>
        <v>28743</v>
      </c>
      <c r="T83" s="142">
        <f t="shared" si="30"/>
        <v>10003</v>
      </c>
      <c r="U83" s="142">
        <f t="shared" si="30"/>
        <v>0</v>
      </c>
      <c r="V83" s="142">
        <f t="shared" si="30"/>
        <v>2112</v>
      </c>
      <c r="W83" s="142">
        <f t="shared" si="30"/>
        <v>0</v>
      </c>
      <c r="X83" s="142">
        <f t="shared" si="30"/>
        <v>0</v>
      </c>
      <c r="Y83" s="142">
        <f t="shared" si="30"/>
        <v>0</v>
      </c>
      <c r="Z83" s="142">
        <f t="shared" si="30"/>
        <v>0</v>
      </c>
      <c r="AA83" s="142">
        <f t="shared" si="30"/>
        <v>0</v>
      </c>
      <c r="AB83" s="142">
        <f t="shared" si="30"/>
        <v>0</v>
      </c>
      <c r="AC83" s="142">
        <f t="shared" si="30"/>
        <v>0</v>
      </c>
      <c r="AD83" s="142">
        <f t="shared" si="30"/>
        <v>0</v>
      </c>
      <c r="AE83" s="142">
        <f t="shared" si="30"/>
        <v>0</v>
      </c>
      <c r="AF83" s="142">
        <f t="shared" si="30"/>
        <v>0</v>
      </c>
      <c r="AG83" s="142">
        <f t="shared" si="30"/>
        <v>0</v>
      </c>
      <c r="AH83" s="142">
        <f t="shared" si="30"/>
        <v>0</v>
      </c>
      <c r="AI83" s="142">
        <f t="shared" si="30"/>
        <v>0</v>
      </c>
      <c r="AJ83" s="142">
        <f t="shared" si="30"/>
        <v>0</v>
      </c>
      <c r="AK83" s="142">
        <f t="shared" si="30"/>
        <v>0</v>
      </c>
      <c r="AL83" s="142">
        <f t="shared" si="30"/>
        <v>0</v>
      </c>
      <c r="AM83" s="142">
        <f t="shared" si="30"/>
        <v>151</v>
      </c>
      <c r="AN83" s="142">
        <f t="shared" si="30"/>
        <v>0</v>
      </c>
      <c r="AO83" s="142">
        <f t="shared" si="30"/>
        <v>0</v>
      </c>
      <c r="AP83" s="142">
        <f t="shared" si="30"/>
        <v>0</v>
      </c>
      <c r="AQ83" s="142">
        <f t="shared" si="30"/>
        <v>0</v>
      </c>
      <c r="AR83" s="142">
        <f t="shared" si="30"/>
        <v>425</v>
      </c>
      <c r="AS83" s="142">
        <f t="shared" si="30"/>
        <v>0</v>
      </c>
      <c r="AT83" s="142">
        <f t="shared" si="30"/>
        <v>0</v>
      </c>
      <c r="AU83" s="142">
        <f t="shared" si="30"/>
        <v>0</v>
      </c>
      <c r="AV83" s="142">
        <f t="shared" si="30"/>
        <v>168</v>
      </c>
      <c r="AW83" s="142">
        <f t="shared" si="30"/>
        <v>272</v>
      </c>
      <c r="AX83" s="142">
        <f t="shared" si="30"/>
        <v>323394</v>
      </c>
      <c r="AY83" s="142">
        <f t="shared" si="30"/>
        <v>3179</v>
      </c>
      <c r="AZ83" s="142">
        <f>AZ79+AZ74+AZ50</f>
        <v>408</v>
      </c>
      <c r="BA83" s="142">
        <f>BA79+BA74+BA50</f>
        <v>0</v>
      </c>
      <c r="BB83" s="142">
        <f>BB79+BB74+BB50</f>
        <v>0</v>
      </c>
      <c r="BC83" s="142">
        <f t="shared" si="30"/>
        <v>3587</v>
      </c>
      <c r="BD83" s="142">
        <f t="shared" si="30"/>
        <v>326981</v>
      </c>
      <c r="BE83" s="142">
        <f t="shared" si="30"/>
        <v>298</v>
      </c>
      <c r="BF83" s="44">
        <f>BF50+BF74+BF79</f>
        <v>298</v>
      </c>
      <c r="BG83" s="45">
        <f>BG50+BG74+BG79</f>
        <v>327279</v>
      </c>
    </row>
    <row r="84" spans="1:59" s="5" customFormat="1" ht="27" customHeight="1">
      <c r="A84" s="46"/>
      <c r="B84" s="47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48"/>
    </row>
    <row r="85" spans="1:59" s="12" customFormat="1" ht="30" customHeight="1">
      <c r="A85" s="54"/>
      <c r="B85" s="43" t="s">
        <v>144</v>
      </c>
      <c r="C85" s="24">
        <f>SUM(C86:C88)</f>
        <v>0</v>
      </c>
      <c r="D85" s="24">
        <f aca="true" t="shared" si="31" ref="D85:BG85">SUM(D86:D88)</f>
        <v>0</v>
      </c>
      <c r="E85" s="24">
        <f t="shared" si="31"/>
        <v>0</v>
      </c>
      <c r="F85" s="24">
        <f t="shared" si="31"/>
        <v>0</v>
      </c>
      <c r="G85" s="24"/>
      <c r="H85" s="24">
        <f t="shared" si="31"/>
        <v>0</v>
      </c>
      <c r="I85" s="24">
        <f t="shared" si="31"/>
        <v>0</v>
      </c>
      <c r="J85" s="24">
        <f t="shared" si="31"/>
        <v>0</v>
      </c>
      <c r="K85" s="24">
        <f t="shared" si="31"/>
        <v>0</v>
      </c>
      <c r="L85" s="24">
        <f t="shared" si="31"/>
        <v>0</v>
      </c>
      <c r="M85" s="24">
        <f t="shared" si="31"/>
        <v>0</v>
      </c>
      <c r="N85" s="24">
        <f t="shared" si="31"/>
        <v>0</v>
      </c>
      <c r="O85" s="24">
        <f t="shared" si="31"/>
        <v>0</v>
      </c>
      <c r="P85" s="24">
        <f t="shared" si="31"/>
        <v>0</v>
      </c>
      <c r="Q85" s="24">
        <f t="shared" si="31"/>
        <v>0</v>
      </c>
      <c r="R85" s="24">
        <f t="shared" si="31"/>
        <v>0</v>
      </c>
      <c r="S85" s="24">
        <f t="shared" si="31"/>
        <v>4101</v>
      </c>
      <c r="T85" s="24">
        <f t="shared" si="31"/>
        <v>0</v>
      </c>
      <c r="U85" s="24">
        <f t="shared" si="31"/>
        <v>0</v>
      </c>
      <c r="V85" s="24">
        <f t="shared" si="31"/>
        <v>0</v>
      </c>
      <c r="W85" s="24">
        <f t="shared" si="31"/>
        <v>0</v>
      </c>
      <c r="X85" s="24">
        <f t="shared" si="31"/>
        <v>0</v>
      </c>
      <c r="Y85" s="24">
        <f t="shared" si="31"/>
        <v>0</v>
      </c>
      <c r="Z85" s="24">
        <f t="shared" si="31"/>
        <v>0</v>
      </c>
      <c r="AA85" s="24">
        <f t="shared" si="31"/>
        <v>0</v>
      </c>
      <c r="AB85" s="24">
        <f t="shared" si="31"/>
        <v>0</v>
      </c>
      <c r="AC85" s="24">
        <f t="shared" si="31"/>
        <v>0</v>
      </c>
      <c r="AD85" s="24">
        <f t="shared" si="31"/>
        <v>0</v>
      </c>
      <c r="AE85" s="24">
        <f t="shared" si="31"/>
        <v>0</v>
      </c>
      <c r="AF85" s="24">
        <f t="shared" si="31"/>
        <v>0</v>
      </c>
      <c r="AG85" s="24">
        <f t="shared" si="31"/>
        <v>0</v>
      </c>
      <c r="AH85" s="24">
        <f t="shared" si="31"/>
        <v>0</v>
      </c>
      <c r="AI85" s="24">
        <f t="shared" si="31"/>
        <v>0</v>
      </c>
      <c r="AJ85" s="24">
        <f t="shared" si="31"/>
        <v>0</v>
      </c>
      <c r="AK85" s="24">
        <f t="shared" si="31"/>
        <v>0</v>
      </c>
      <c r="AL85" s="24">
        <f t="shared" si="31"/>
        <v>0</v>
      </c>
      <c r="AM85" s="24">
        <f t="shared" si="31"/>
        <v>0</v>
      </c>
      <c r="AN85" s="24">
        <f t="shared" si="31"/>
        <v>0</v>
      </c>
      <c r="AO85" s="24">
        <f t="shared" si="31"/>
        <v>0</v>
      </c>
      <c r="AP85" s="24">
        <f t="shared" si="31"/>
        <v>0</v>
      </c>
      <c r="AQ85" s="24">
        <f t="shared" si="31"/>
        <v>0</v>
      </c>
      <c r="AR85" s="24">
        <f t="shared" si="31"/>
        <v>0</v>
      </c>
      <c r="AS85" s="24">
        <f t="shared" si="31"/>
        <v>0</v>
      </c>
      <c r="AT85" s="24"/>
      <c r="AU85" s="24">
        <f t="shared" si="31"/>
        <v>0</v>
      </c>
      <c r="AV85" s="24">
        <f t="shared" si="31"/>
        <v>0</v>
      </c>
      <c r="AW85" s="24">
        <f t="shared" si="31"/>
        <v>0</v>
      </c>
      <c r="AX85" s="24">
        <f t="shared" si="31"/>
        <v>4101</v>
      </c>
      <c r="AY85" s="24">
        <f t="shared" si="31"/>
        <v>0</v>
      </c>
      <c r="AZ85" s="24">
        <f t="shared" si="31"/>
        <v>0</v>
      </c>
      <c r="BA85" s="24">
        <f t="shared" si="31"/>
        <v>0</v>
      </c>
      <c r="BB85" s="24">
        <f t="shared" si="31"/>
        <v>0</v>
      </c>
      <c r="BC85" s="24">
        <f t="shared" si="31"/>
        <v>0</v>
      </c>
      <c r="BD85" s="24">
        <f t="shared" si="31"/>
        <v>4101</v>
      </c>
      <c r="BE85" s="24">
        <f t="shared" si="31"/>
        <v>0</v>
      </c>
      <c r="BF85" s="24">
        <f t="shared" si="31"/>
        <v>0</v>
      </c>
      <c r="BG85" s="24">
        <f t="shared" si="31"/>
        <v>4101</v>
      </c>
    </row>
    <row r="86" spans="1:59" s="12" customFormat="1" ht="12.75" customHeight="1">
      <c r="A86" s="54"/>
      <c r="B86" s="90" t="s">
        <v>196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28">
        <f>SUM(C86:AW86)</f>
        <v>0</v>
      </c>
      <c r="AY86" s="13"/>
      <c r="AZ86" s="13"/>
      <c r="BA86" s="13"/>
      <c r="BB86" s="13"/>
      <c r="BC86" s="128">
        <f>SUM(AY86:BB86)</f>
        <v>0</v>
      </c>
      <c r="BD86" s="151">
        <f>AX86+BC86</f>
        <v>0</v>
      </c>
      <c r="BE86" s="13"/>
      <c r="BF86" s="151">
        <f>BE86</f>
        <v>0</v>
      </c>
      <c r="BG86" s="8">
        <f>BD86+BF86</f>
        <v>0</v>
      </c>
    </row>
    <row r="87" spans="2:59" s="10" customFormat="1" ht="11.25" customHeight="1">
      <c r="B87" s="9" t="s">
        <v>1</v>
      </c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>
        <v>4101</v>
      </c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28">
        <f>SUM(C87:AW87)</f>
        <v>4101</v>
      </c>
      <c r="AY87" s="13"/>
      <c r="AZ87" s="13"/>
      <c r="BA87" s="13"/>
      <c r="BB87" s="13"/>
      <c r="BC87" s="128">
        <f>SUM(AY87:BB87)</f>
        <v>0</v>
      </c>
      <c r="BD87" s="151">
        <f>AX87+BC87</f>
        <v>4101</v>
      </c>
      <c r="BE87" s="13"/>
      <c r="BF87" s="151">
        <f>BE87</f>
        <v>0</v>
      </c>
      <c r="BG87" s="8">
        <f>BD87+BF87</f>
        <v>4101</v>
      </c>
    </row>
    <row r="88" spans="2:59" s="10" customFormat="1" ht="11.25" customHeight="1">
      <c r="B88" s="9" t="s">
        <v>87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28">
        <f>SUM(C88:AW88)</f>
        <v>0</v>
      </c>
      <c r="AY88" s="13"/>
      <c r="AZ88" s="13"/>
      <c r="BA88" s="13"/>
      <c r="BB88" s="13"/>
      <c r="BC88" s="128">
        <f>SUM(AY88:BB88)</f>
        <v>0</v>
      </c>
      <c r="BD88" s="151">
        <f>AX88+BC88</f>
        <v>0</v>
      </c>
      <c r="BE88" s="13"/>
      <c r="BF88" s="151">
        <f>BE88</f>
        <v>0</v>
      </c>
      <c r="BG88" s="8">
        <f>BD88+BF88</f>
        <v>0</v>
      </c>
    </row>
    <row r="89" spans="1:59" s="5" customFormat="1" ht="37.5" customHeight="1">
      <c r="A89" s="47"/>
      <c r="B89" s="57" t="s">
        <v>88</v>
      </c>
      <c r="C89" s="142">
        <f>C85+C69</f>
        <v>5516</v>
      </c>
      <c r="D89" s="142">
        <f aca="true" t="shared" si="32" ref="D89:BC89">D85+D69</f>
        <v>0</v>
      </c>
      <c r="E89" s="142">
        <f t="shared" si="32"/>
        <v>441</v>
      </c>
      <c r="F89" s="142">
        <f t="shared" si="32"/>
        <v>19669</v>
      </c>
      <c r="G89" s="142">
        <f t="shared" si="32"/>
        <v>33</v>
      </c>
      <c r="H89" s="142">
        <f t="shared" si="32"/>
        <v>47</v>
      </c>
      <c r="I89" s="142">
        <f t="shared" si="32"/>
        <v>134</v>
      </c>
      <c r="J89" s="142">
        <f t="shared" si="32"/>
        <v>187</v>
      </c>
      <c r="K89" s="142">
        <f t="shared" si="32"/>
        <v>6672</v>
      </c>
      <c r="L89" s="142">
        <f t="shared" si="32"/>
        <v>21</v>
      </c>
      <c r="M89" s="142">
        <f t="shared" si="32"/>
        <v>180196</v>
      </c>
      <c r="N89" s="142">
        <f t="shared" si="32"/>
        <v>1958</v>
      </c>
      <c r="O89" s="142">
        <f t="shared" si="32"/>
        <v>7</v>
      </c>
      <c r="P89" s="142">
        <f t="shared" si="32"/>
        <v>5262</v>
      </c>
      <c r="Q89" s="142">
        <f t="shared" si="32"/>
        <v>4516</v>
      </c>
      <c r="R89" s="142">
        <f t="shared" si="32"/>
        <v>0</v>
      </c>
      <c r="S89" s="142">
        <f t="shared" si="32"/>
        <v>4101</v>
      </c>
      <c r="T89" s="142">
        <f t="shared" si="32"/>
        <v>0</v>
      </c>
      <c r="U89" s="142">
        <f t="shared" si="32"/>
        <v>90</v>
      </c>
      <c r="V89" s="142">
        <f t="shared" si="32"/>
        <v>2862</v>
      </c>
      <c r="W89" s="142">
        <f t="shared" si="32"/>
        <v>6567</v>
      </c>
      <c r="X89" s="142">
        <f t="shared" si="32"/>
        <v>607</v>
      </c>
      <c r="Y89" s="142">
        <f t="shared" si="32"/>
        <v>1536</v>
      </c>
      <c r="Z89" s="142">
        <f t="shared" si="32"/>
        <v>0</v>
      </c>
      <c r="AA89" s="142">
        <f t="shared" si="32"/>
        <v>2586</v>
      </c>
      <c r="AB89" s="142">
        <f t="shared" si="32"/>
        <v>335</v>
      </c>
      <c r="AC89" s="142">
        <f t="shared" si="32"/>
        <v>1117</v>
      </c>
      <c r="AD89" s="142">
        <f t="shared" si="32"/>
        <v>0</v>
      </c>
      <c r="AE89" s="142">
        <f t="shared" si="32"/>
        <v>0</v>
      </c>
      <c r="AF89" s="142">
        <f t="shared" si="32"/>
        <v>0</v>
      </c>
      <c r="AG89" s="142">
        <f t="shared" si="32"/>
        <v>122</v>
      </c>
      <c r="AH89" s="142">
        <f t="shared" si="32"/>
        <v>75</v>
      </c>
      <c r="AI89" s="142">
        <f t="shared" si="32"/>
        <v>5</v>
      </c>
      <c r="AJ89" s="142">
        <f t="shared" si="32"/>
        <v>115</v>
      </c>
      <c r="AK89" s="142">
        <f t="shared" si="32"/>
        <v>0</v>
      </c>
      <c r="AL89" s="142">
        <f t="shared" si="32"/>
        <v>137</v>
      </c>
      <c r="AM89" s="142">
        <f t="shared" si="32"/>
        <v>73</v>
      </c>
      <c r="AN89" s="142">
        <f t="shared" si="32"/>
        <v>1545</v>
      </c>
      <c r="AO89" s="142">
        <f t="shared" si="32"/>
        <v>1729</v>
      </c>
      <c r="AP89" s="142">
        <f t="shared" si="32"/>
        <v>240</v>
      </c>
      <c r="AQ89" s="142">
        <f t="shared" si="32"/>
        <v>0</v>
      </c>
      <c r="AR89" s="142">
        <f t="shared" si="32"/>
        <v>3048</v>
      </c>
      <c r="AS89" s="142">
        <f t="shared" si="32"/>
        <v>0</v>
      </c>
      <c r="AT89" s="142">
        <f t="shared" si="32"/>
        <v>484</v>
      </c>
      <c r="AU89" s="142">
        <f t="shared" si="32"/>
        <v>295</v>
      </c>
      <c r="AV89" s="142">
        <f t="shared" si="32"/>
        <v>2652</v>
      </c>
      <c r="AW89" s="142">
        <f t="shared" si="32"/>
        <v>17</v>
      </c>
      <c r="AX89" s="142">
        <f t="shared" si="32"/>
        <v>254997</v>
      </c>
      <c r="AY89" s="142">
        <f t="shared" si="32"/>
        <v>0</v>
      </c>
      <c r="AZ89" s="142">
        <f>AZ85+AZ69</f>
        <v>613</v>
      </c>
      <c r="BA89" s="142">
        <f>BA85+BA69</f>
        <v>23512</v>
      </c>
      <c r="BB89" s="142">
        <f>BB85+BB69</f>
        <v>655</v>
      </c>
      <c r="BC89" s="142">
        <f t="shared" si="32"/>
        <v>24780</v>
      </c>
      <c r="BD89" s="142">
        <f>BD85+BD69</f>
        <v>279777</v>
      </c>
      <c r="BE89" s="142">
        <f>BE85+BE69</f>
        <v>113</v>
      </c>
      <c r="BF89" s="44">
        <f>BF69+BF85</f>
        <v>113</v>
      </c>
      <c r="BG89" s="45">
        <f>BG69+BG85</f>
        <v>279890</v>
      </c>
    </row>
  </sheetData>
  <sheetProtection selectLockedCells="1"/>
  <mergeCells count="19">
    <mergeCell ref="A1:AA1"/>
    <mergeCell ref="A2:B4"/>
    <mergeCell ref="C2:AB2"/>
    <mergeCell ref="AC2:AW2"/>
    <mergeCell ref="AX2:AX4"/>
    <mergeCell ref="AY2:BB2"/>
    <mergeCell ref="A52:B54"/>
    <mergeCell ref="C52:AB52"/>
    <mergeCell ref="AC52:AW52"/>
    <mergeCell ref="AX52:AX54"/>
    <mergeCell ref="AY52:BB52"/>
    <mergeCell ref="BC52:BC54"/>
    <mergeCell ref="BD52:BD54"/>
    <mergeCell ref="BF52:BF54"/>
    <mergeCell ref="BG52:BG54"/>
    <mergeCell ref="BC2:BC4"/>
    <mergeCell ref="BD2:BD4"/>
    <mergeCell ref="BF2:BF4"/>
    <mergeCell ref="BG2:BG4"/>
  </mergeCells>
  <printOptions horizontalCentered="1" verticalCentered="1"/>
  <pageMargins left="0.3937007874015748" right="0.3937007874015748" top="0" bottom="0.15748031496062992" header="0.5118110236220472" footer="0.15748031496062992"/>
  <pageSetup horizontalDpi="600" verticalDpi="600" orientation="landscape" paperSize="8" scale="53" r:id="rId2"/>
  <headerFooter alignWithMargins="0">
    <oddHeader>&amp;R6. sz. melléklet</oddHeader>
    <oddFooter>&amp;L&amp;D&amp;C&amp;P</oddFooter>
  </headerFooter>
  <colBreaks count="1" manualBreakCount="1">
    <brk id="28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BH89"/>
  <sheetViews>
    <sheetView showZeros="0" view="pageBreakPreview" zoomScale="85" zoomScaleSheetLayoutView="85" zoomScalePageLayoutView="0" workbookViewId="0" topLeftCell="A1">
      <pane xSplit="2" ySplit="4" topLeftCell="C7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F87" sqref="BF87"/>
    </sheetView>
  </sheetViews>
  <sheetFormatPr defaultColWidth="9.140625" defaultRowHeight="15"/>
  <cols>
    <col min="1" max="1" width="5.7109375" style="2" customWidth="1"/>
    <col min="2" max="2" width="60.28125" style="2" customWidth="1"/>
    <col min="3" max="5" width="11.7109375" style="2" customWidth="1"/>
    <col min="6" max="49" width="11.7109375" style="4" customWidth="1"/>
    <col min="50" max="50" width="13.140625" style="3" customWidth="1"/>
    <col min="51" max="51" width="11.7109375" style="4" customWidth="1"/>
    <col min="52" max="52" width="11.7109375" style="2" customWidth="1"/>
    <col min="53" max="54" width="11.7109375" style="4" customWidth="1"/>
    <col min="55" max="56" width="13.140625" style="3" customWidth="1"/>
    <col min="57" max="57" width="11.7109375" style="4" customWidth="1"/>
    <col min="58" max="58" width="13.140625" style="3" customWidth="1"/>
    <col min="59" max="59" width="13.140625" style="198" customWidth="1"/>
    <col min="60" max="60" width="10.28125" style="1" bestFit="1" customWidth="1"/>
    <col min="61" max="16384" width="9.140625" style="1" customWidth="1"/>
  </cols>
  <sheetData>
    <row r="1" spans="1:59" s="25" customFormat="1" ht="16.5" customHeight="1">
      <c r="A1" s="629" t="s">
        <v>76</v>
      </c>
      <c r="B1" s="629"/>
      <c r="C1" s="629"/>
      <c r="D1" s="629"/>
      <c r="E1" s="629"/>
      <c r="F1" s="629"/>
      <c r="G1" s="629"/>
      <c r="H1" s="629"/>
      <c r="I1" s="629"/>
      <c r="J1" s="629"/>
      <c r="K1" s="629"/>
      <c r="L1" s="629"/>
      <c r="M1" s="629"/>
      <c r="N1" s="629"/>
      <c r="O1" s="629"/>
      <c r="P1" s="629"/>
      <c r="Q1" s="629"/>
      <c r="R1" s="629"/>
      <c r="S1" s="629"/>
      <c r="T1" s="629"/>
      <c r="U1" s="629"/>
      <c r="V1" s="629"/>
      <c r="W1" s="629"/>
      <c r="X1" s="629"/>
      <c r="Y1" s="629"/>
      <c r="Z1" s="629"/>
      <c r="AA1" s="629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6"/>
      <c r="AY1" s="26"/>
      <c r="AZ1" s="27"/>
      <c r="BA1" s="28"/>
      <c r="BB1" s="28"/>
      <c r="BC1" s="129"/>
      <c r="BD1" s="129"/>
      <c r="BE1" s="27"/>
      <c r="BF1" s="129"/>
      <c r="BG1" s="191"/>
    </row>
    <row r="2" spans="1:59" s="17" customFormat="1" ht="37.5" customHeight="1">
      <c r="A2" s="620" t="s">
        <v>59</v>
      </c>
      <c r="B2" s="620"/>
      <c r="C2" s="630" t="s">
        <v>142</v>
      </c>
      <c r="D2" s="631"/>
      <c r="E2" s="631"/>
      <c r="F2" s="631"/>
      <c r="G2" s="631"/>
      <c r="H2" s="631"/>
      <c r="I2" s="631"/>
      <c r="J2" s="631"/>
      <c r="K2" s="631"/>
      <c r="L2" s="631"/>
      <c r="M2" s="631"/>
      <c r="N2" s="631"/>
      <c r="O2" s="631"/>
      <c r="P2" s="631"/>
      <c r="Q2" s="631"/>
      <c r="R2" s="631"/>
      <c r="S2" s="631"/>
      <c r="T2" s="631"/>
      <c r="U2" s="631"/>
      <c r="V2" s="631"/>
      <c r="W2" s="631"/>
      <c r="X2" s="631"/>
      <c r="Y2" s="631"/>
      <c r="Z2" s="631"/>
      <c r="AA2" s="631"/>
      <c r="AB2" s="631"/>
      <c r="AC2" s="632" t="s">
        <v>141</v>
      </c>
      <c r="AD2" s="632"/>
      <c r="AE2" s="632"/>
      <c r="AF2" s="632"/>
      <c r="AG2" s="632"/>
      <c r="AH2" s="632"/>
      <c r="AI2" s="632"/>
      <c r="AJ2" s="632"/>
      <c r="AK2" s="632"/>
      <c r="AL2" s="632"/>
      <c r="AM2" s="632"/>
      <c r="AN2" s="632"/>
      <c r="AO2" s="632"/>
      <c r="AP2" s="632"/>
      <c r="AQ2" s="632"/>
      <c r="AR2" s="632"/>
      <c r="AS2" s="632"/>
      <c r="AT2" s="632"/>
      <c r="AU2" s="632"/>
      <c r="AV2" s="632"/>
      <c r="AW2" s="633"/>
      <c r="AX2" s="642" t="s">
        <v>138</v>
      </c>
      <c r="AY2" s="634" t="s">
        <v>140</v>
      </c>
      <c r="AZ2" s="635"/>
      <c r="BA2" s="635"/>
      <c r="BB2" s="636"/>
      <c r="BC2" s="637" t="s">
        <v>139</v>
      </c>
      <c r="BD2" s="612" t="s">
        <v>198</v>
      </c>
      <c r="BE2" s="146" t="s">
        <v>199</v>
      </c>
      <c r="BF2" s="612" t="s">
        <v>200</v>
      </c>
      <c r="BG2" s="640" t="s">
        <v>201</v>
      </c>
    </row>
    <row r="3" spans="1:59" s="14" customFormat="1" ht="48" customHeight="1">
      <c r="A3" s="620"/>
      <c r="B3" s="620"/>
      <c r="C3" s="94">
        <v>382101</v>
      </c>
      <c r="D3" s="94">
        <v>421100</v>
      </c>
      <c r="E3" s="94">
        <v>552110</v>
      </c>
      <c r="F3" s="94">
        <v>562917</v>
      </c>
      <c r="G3" s="94">
        <f>'[1]2011_2a_mell'!G3</f>
        <v>581400</v>
      </c>
      <c r="H3" s="94">
        <v>682001</v>
      </c>
      <c r="I3" s="94">
        <v>682002</v>
      </c>
      <c r="J3" s="94">
        <v>750000</v>
      </c>
      <c r="K3" s="94">
        <v>841112</v>
      </c>
      <c r="L3" s="94">
        <v>841116</v>
      </c>
      <c r="M3" s="94">
        <v>841126</v>
      </c>
      <c r="N3" s="94">
        <v>841133</v>
      </c>
      <c r="O3" s="94">
        <v>841191</v>
      </c>
      <c r="P3" s="94">
        <v>841402</v>
      </c>
      <c r="Q3" s="94">
        <v>841403</v>
      </c>
      <c r="R3" s="94">
        <v>841901</v>
      </c>
      <c r="S3" s="94">
        <v>841906</v>
      </c>
      <c r="T3" s="94">
        <v>841908</v>
      </c>
      <c r="U3" s="94">
        <v>854234</v>
      </c>
      <c r="V3" s="94">
        <v>869041</v>
      </c>
      <c r="W3" s="94">
        <v>882111</v>
      </c>
      <c r="X3" s="94">
        <v>882112</v>
      </c>
      <c r="Y3" s="94">
        <v>882113</v>
      </c>
      <c r="Z3" s="94">
        <v>882114</v>
      </c>
      <c r="AA3" s="94">
        <v>882115</v>
      </c>
      <c r="AB3" s="94">
        <v>882116</v>
      </c>
      <c r="AC3" s="94">
        <v>882117</v>
      </c>
      <c r="AD3" s="94">
        <v>882118</v>
      </c>
      <c r="AE3" s="94">
        <v>882119</v>
      </c>
      <c r="AF3" s="94">
        <v>882121</v>
      </c>
      <c r="AG3" s="94">
        <v>882122</v>
      </c>
      <c r="AH3" s="94">
        <v>882123</v>
      </c>
      <c r="AI3" s="94">
        <v>882124</v>
      </c>
      <c r="AJ3" s="94">
        <v>882125</v>
      </c>
      <c r="AK3" s="94">
        <v>882129</v>
      </c>
      <c r="AL3" s="94">
        <v>882202</v>
      </c>
      <c r="AM3" s="94">
        <v>882203</v>
      </c>
      <c r="AN3" s="94">
        <v>889921</v>
      </c>
      <c r="AO3" s="94">
        <v>889928</v>
      </c>
      <c r="AP3" s="94">
        <v>889969</v>
      </c>
      <c r="AQ3" s="94">
        <v>890301</v>
      </c>
      <c r="AR3" s="94">
        <v>890441</v>
      </c>
      <c r="AS3" s="94">
        <v>890442</v>
      </c>
      <c r="AT3" s="94">
        <v>890443</v>
      </c>
      <c r="AU3" s="94">
        <v>910123</v>
      </c>
      <c r="AV3" s="94">
        <v>910502</v>
      </c>
      <c r="AW3" s="94">
        <v>960302</v>
      </c>
      <c r="AX3" s="638"/>
      <c r="AY3" s="95">
        <v>562912</v>
      </c>
      <c r="AZ3" s="95">
        <v>851000</v>
      </c>
      <c r="BA3" s="95">
        <v>851011</v>
      </c>
      <c r="BB3" s="95">
        <v>851012</v>
      </c>
      <c r="BC3" s="638"/>
      <c r="BD3" s="613"/>
      <c r="BE3" s="16">
        <v>841127</v>
      </c>
      <c r="BF3" s="613"/>
      <c r="BG3" s="641"/>
    </row>
    <row r="4" spans="1:59" s="14" customFormat="1" ht="47.25" customHeight="1">
      <c r="A4" s="620"/>
      <c r="B4" s="621"/>
      <c r="C4" s="96" t="s">
        <v>52</v>
      </c>
      <c r="D4" s="96" t="s">
        <v>51</v>
      </c>
      <c r="E4" s="96" t="s">
        <v>50</v>
      </c>
      <c r="F4" s="96" t="s">
        <v>49</v>
      </c>
      <c r="G4" s="96" t="str">
        <f>'[1]2011_2a_mell'!G4</f>
        <v>Folyóirat, időszaki kiadvány kiadása</v>
      </c>
      <c r="H4" s="96" t="s">
        <v>48</v>
      </c>
      <c r="I4" s="96" t="s">
        <v>47</v>
      </c>
      <c r="J4" s="96" t="s">
        <v>46</v>
      </c>
      <c r="K4" s="96" t="s">
        <v>45</v>
      </c>
      <c r="L4" s="96" t="s">
        <v>44</v>
      </c>
      <c r="M4" s="96" t="s">
        <v>43</v>
      </c>
      <c r="N4" s="96" t="s">
        <v>42</v>
      </c>
      <c r="O4" s="96" t="s">
        <v>41</v>
      </c>
      <c r="P4" s="96" t="s">
        <v>40</v>
      </c>
      <c r="Q4" s="96" t="s">
        <v>39</v>
      </c>
      <c r="R4" s="96" t="s">
        <v>38</v>
      </c>
      <c r="S4" s="96" t="s">
        <v>37</v>
      </c>
      <c r="T4" s="96" t="s">
        <v>36</v>
      </c>
      <c r="U4" s="96" t="s">
        <v>35</v>
      </c>
      <c r="V4" s="96" t="s">
        <v>34</v>
      </c>
      <c r="W4" s="96" t="s">
        <v>33</v>
      </c>
      <c r="X4" s="96" t="s">
        <v>32</v>
      </c>
      <c r="Y4" s="96" t="s">
        <v>31</v>
      </c>
      <c r="Z4" s="97" t="s">
        <v>30</v>
      </c>
      <c r="AA4" s="97" t="s">
        <v>29</v>
      </c>
      <c r="AB4" s="97" t="s">
        <v>28</v>
      </c>
      <c r="AC4" s="97" t="s">
        <v>27</v>
      </c>
      <c r="AD4" s="97" t="s">
        <v>26</v>
      </c>
      <c r="AE4" s="97" t="s">
        <v>25</v>
      </c>
      <c r="AF4" s="97" t="s">
        <v>24</v>
      </c>
      <c r="AG4" s="97" t="s">
        <v>23</v>
      </c>
      <c r="AH4" s="97" t="s">
        <v>22</v>
      </c>
      <c r="AI4" s="97" t="s">
        <v>21</v>
      </c>
      <c r="AJ4" s="97" t="s">
        <v>20</v>
      </c>
      <c r="AK4" s="97" t="s">
        <v>19</v>
      </c>
      <c r="AL4" s="97" t="s">
        <v>75</v>
      </c>
      <c r="AM4" s="97" t="s">
        <v>17</v>
      </c>
      <c r="AN4" s="97" t="s">
        <v>16</v>
      </c>
      <c r="AO4" s="97" t="s">
        <v>15</v>
      </c>
      <c r="AP4" s="97" t="s">
        <v>14</v>
      </c>
      <c r="AQ4" s="97" t="s">
        <v>13</v>
      </c>
      <c r="AR4" s="97" t="s">
        <v>208</v>
      </c>
      <c r="AS4" s="97" t="s">
        <v>209</v>
      </c>
      <c r="AT4" s="97" t="s">
        <v>210</v>
      </c>
      <c r="AU4" s="97" t="s">
        <v>12</v>
      </c>
      <c r="AV4" s="97" t="s">
        <v>11</v>
      </c>
      <c r="AW4" s="97" t="s">
        <v>10</v>
      </c>
      <c r="AX4" s="639"/>
      <c r="AY4" s="96" t="s">
        <v>9</v>
      </c>
      <c r="AZ4" s="98" t="s">
        <v>8</v>
      </c>
      <c r="BA4" s="96" t="s">
        <v>7</v>
      </c>
      <c r="BB4" s="96" t="s">
        <v>6</v>
      </c>
      <c r="BC4" s="639"/>
      <c r="BD4" s="613"/>
      <c r="BE4" s="15" t="s">
        <v>5</v>
      </c>
      <c r="BF4" s="613"/>
      <c r="BG4" s="641"/>
    </row>
    <row r="5" spans="1:59" s="7" customFormat="1" ht="15.75">
      <c r="A5" s="99" t="s">
        <v>77</v>
      </c>
      <c r="B5" s="100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85"/>
      <c r="AY5" s="101"/>
      <c r="AZ5" s="101"/>
      <c r="BA5" s="101"/>
      <c r="BB5" s="101"/>
      <c r="BC5" s="199"/>
      <c r="BD5" s="147"/>
      <c r="BE5" s="148"/>
      <c r="BF5" s="147"/>
      <c r="BG5" s="202"/>
    </row>
    <row r="6" spans="1:60" s="7" customFormat="1" ht="12.75">
      <c r="A6" s="103">
        <v>1</v>
      </c>
      <c r="B6" s="104" t="s">
        <v>74</v>
      </c>
      <c r="C6" s="188">
        <f>6m_teljesitesi_adatok!C6/modositott_ei!C6</f>
        <v>0.8321667196945594</v>
      </c>
      <c r="D6" s="188"/>
      <c r="E6" s="188"/>
      <c r="F6" s="188">
        <f>6m_teljesitesi_adatok!F6/modositott_ei!F6</f>
        <v>0.6320827760962906</v>
      </c>
      <c r="G6" s="188"/>
      <c r="H6" s="188"/>
      <c r="I6" s="188">
        <f>6m_teljesitesi_adatok!I6/modositott_ei!I6</f>
        <v>0.9125</v>
      </c>
      <c r="J6" s="188"/>
      <c r="K6" s="188">
        <f>6m_teljesitesi_adatok!K6/modositott_ei!K6</f>
        <v>0.3474025974025974</v>
      </c>
      <c r="L6" s="188"/>
      <c r="M6" s="188">
        <f>6m_teljesitesi_adatok!M6/modositott_ei!M6</f>
        <v>0.5621557403607301</v>
      </c>
      <c r="N6" s="188"/>
      <c r="O6" s="188"/>
      <c r="P6" s="188"/>
      <c r="Q6" s="188"/>
      <c r="R6" s="188"/>
      <c r="S6" s="188"/>
      <c r="T6" s="188"/>
      <c r="U6" s="188"/>
      <c r="V6" s="188">
        <f>6m_teljesitesi_adatok!V6/modositott_ei!V6</f>
        <v>0.625</v>
      </c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>
        <f>6m_teljesitesi_adatok!AV6/modositott_ei!AV6</f>
        <v>0.6</v>
      </c>
      <c r="AW6" s="188"/>
      <c r="AX6" s="189">
        <f>6m_teljesitesi_adatok!AX6/modositott_ei!AX6</f>
        <v>0.6540894568690095</v>
      </c>
      <c r="AY6" s="188">
        <f>6m_teljesitesi_adatok!AY6/modositott_ei!AY6</f>
        <v>0.47992149758454106</v>
      </c>
      <c r="AZ6" s="188"/>
      <c r="BA6" s="188"/>
      <c r="BB6" s="188"/>
      <c r="BC6" s="200">
        <f>6m_teljesitesi_adatok!BC6/modositott_ei!BC6</f>
        <v>0.47992149758454106</v>
      </c>
      <c r="BD6" s="200">
        <f>6m_teljesitesi_adatok!BD6/modositott_ei!BD6</f>
        <v>0.6236683894103997</v>
      </c>
      <c r="BE6" s="188"/>
      <c r="BF6" s="200"/>
      <c r="BG6" s="201">
        <f>6m_teljesitesi_adatok!BG6/modositott_ei!BG6</f>
        <v>0.6236683894103997</v>
      </c>
      <c r="BH6" s="166"/>
    </row>
    <row r="7" spans="1:60" s="7" customFormat="1" ht="12.75">
      <c r="A7" s="106"/>
      <c r="B7" s="105" t="s">
        <v>168</v>
      </c>
      <c r="C7" s="164"/>
      <c r="D7" s="164"/>
      <c r="E7" s="164"/>
      <c r="F7" s="164"/>
      <c r="G7" s="164"/>
      <c r="H7" s="164"/>
      <c r="I7" s="164"/>
      <c r="J7" s="164"/>
      <c r="K7" s="164">
        <f>6m_teljesitesi_adatok!K7/modositott_ei!K7</f>
        <v>0.2792207792207792</v>
      </c>
      <c r="L7" s="164"/>
      <c r="M7" s="164">
        <f>6m_teljesitesi_adatok!M7/modositott_ei!M7</f>
        <v>1.2685714285714285</v>
      </c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87">
        <f>6m_teljesitesi_adatok!AX7/modositott_ei!AX7</f>
        <v>0.9772036474164134</v>
      </c>
      <c r="AY7" s="164"/>
      <c r="AZ7" s="164"/>
      <c r="BA7" s="164"/>
      <c r="BB7" s="164"/>
      <c r="BC7" s="187"/>
      <c r="BD7" s="190">
        <f>6m_teljesitesi_adatok!BD7/modositott_ei!BD7</f>
        <v>0.9772036474164134</v>
      </c>
      <c r="BE7" s="164"/>
      <c r="BF7" s="190"/>
      <c r="BG7" s="192">
        <f>6m_teljesitesi_adatok!BG7/modositott_ei!BG7</f>
        <v>0.9772036474164134</v>
      </c>
      <c r="BH7" s="166"/>
    </row>
    <row r="8" spans="1:60" s="7" customFormat="1" ht="12.75">
      <c r="A8" s="106"/>
      <c r="B8" s="105" t="s">
        <v>169</v>
      </c>
      <c r="C8" s="164"/>
      <c r="D8" s="164"/>
      <c r="E8" s="164"/>
      <c r="F8" s="164"/>
      <c r="G8" s="164"/>
      <c r="H8" s="164"/>
      <c r="I8" s="164">
        <f>6m_teljesitesi_adatok!I8/modositott_ei!I8</f>
        <v>0.44583333333333336</v>
      </c>
      <c r="J8" s="164"/>
      <c r="K8" s="164"/>
      <c r="L8" s="164"/>
      <c r="M8" s="164">
        <f>6m_teljesitesi_adatok!M8/modositott_ei!M8</f>
        <v>0.013183915622940013</v>
      </c>
      <c r="N8" s="164"/>
      <c r="O8" s="164"/>
      <c r="P8" s="164"/>
      <c r="Q8" s="164"/>
      <c r="R8" s="164"/>
      <c r="S8" s="164"/>
      <c r="T8" s="164"/>
      <c r="U8" s="164"/>
      <c r="V8" s="164">
        <f>6m_teljesitesi_adatok!V8/modositott_ei!V8</f>
        <v>0.625</v>
      </c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64"/>
      <c r="AH8" s="164"/>
      <c r="AI8" s="164"/>
      <c r="AJ8" s="164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>
        <f>6m_teljesitesi_adatok!AV8/modositott_ei!AV8</f>
        <v>0.6</v>
      </c>
      <c r="AW8" s="164"/>
      <c r="AX8" s="187">
        <f>6m_teljesitesi_adatok!AX8/modositott_ei!AX8</f>
        <v>0.27022125498730504</v>
      </c>
      <c r="AY8" s="164"/>
      <c r="AZ8" s="164"/>
      <c r="BA8" s="164"/>
      <c r="BB8" s="164"/>
      <c r="BC8" s="187"/>
      <c r="BD8" s="190">
        <f>6m_teljesitesi_adatok!BD8/modositott_ei!BD8</f>
        <v>0.27022125498730504</v>
      </c>
      <c r="BE8" s="164"/>
      <c r="BF8" s="190"/>
      <c r="BG8" s="192">
        <f>6m_teljesitesi_adatok!BG8/modositott_ei!BG8</f>
        <v>0.27022125498730504</v>
      </c>
      <c r="BH8" s="166"/>
    </row>
    <row r="9" spans="1:60" s="7" customFormat="1" ht="12.75">
      <c r="A9" s="106"/>
      <c r="B9" s="107" t="s">
        <v>170</v>
      </c>
      <c r="C9" s="164">
        <f>6m_teljesitesi_adatok!C9/modositott_ei!C9</f>
        <v>0.6657651924912504</v>
      </c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87">
        <f>6m_teljesitesi_adatok!AX9/modositott_ei!AX9</f>
        <v>0.6657651924912504</v>
      </c>
      <c r="AY9" s="164"/>
      <c r="AZ9" s="164"/>
      <c r="BA9" s="164"/>
      <c r="BB9" s="164"/>
      <c r="BC9" s="187"/>
      <c r="BD9" s="190">
        <f>6m_teljesitesi_adatok!BD9/modositott_ei!BD9</f>
        <v>0.6657651924912504</v>
      </c>
      <c r="BE9" s="164"/>
      <c r="BF9" s="190"/>
      <c r="BG9" s="192">
        <f>6m_teljesitesi_adatok!BG9/modositott_ei!BG9</f>
        <v>0.6657651924912504</v>
      </c>
      <c r="BH9" s="166"/>
    </row>
    <row r="10" spans="1:60" s="7" customFormat="1" ht="12.75">
      <c r="A10" s="106"/>
      <c r="B10" s="105" t="s">
        <v>171</v>
      </c>
      <c r="C10" s="164"/>
      <c r="D10" s="164"/>
      <c r="E10" s="164"/>
      <c r="F10" s="164">
        <f>6m_teljesitesi_adatok!F10/modositott_ei!F10</f>
        <v>0.5056662208770325</v>
      </c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87">
        <f>6m_teljesitesi_adatok!AX10/modositott_ei!AX10</f>
        <v>0.5056662208770325</v>
      </c>
      <c r="AY10" s="164">
        <f>6m_teljesitesi_adatok!AY10/modositott_ei!AY10</f>
        <v>0.3839070048309179</v>
      </c>
      <c r="AZ10" s="164"/>
      <c r="BA10" s="164"/>
      <c r="BB10" s="164"/>
      <c r="BC10" s="187">
        <f>6m_teljesitesi_adatok!BC10/modositott_ei!BC10</f>
        <v>0.3839070048309179</v>
      </c>
      <c r="BD10" s="190">
        <f>6m_teljesitesi_adatok!BD10/modositott_ei!BD10</f>
        <v>0.4669482982093994</v>
      </c>
      <c r="BE10" s="164"/>
      <c r="BF10" s="190"/>
      <c r="BG10" s="192">
        <f>6m_teljesitesi_adatok!BG10/modositott_ei!BG10</f>
        <v>0.4669482982093994</v>
      </c>
      <c r="BH10" s="166"/>
    </row>
    <row r="11" spans="1:60" s="7" customFormat="1" ht="12.75">
      <c r="A11" s="106"/>
      <c r="B11" s="105" t="s">
        <v>172</v>
      </c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>
        <f>6m_teljesitesi_adatok!M11/modositott_ei!M11</f>
        <v>0.6506355204397114</v>
      </c>
      <c r="N11" s="164"/>
      <c r="O11" s="164"/>
      <c r="P11" s="164"/>
      <c r="Q11" s="164"/>
      <c r="R11" s="164"/>
      <c r="S11" s="164"/>
      <c r="T11" s="164"/>
      <c r="U11" s="164"/>
      <c r="V11" s="164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87">
        <f>6m_teljesitesi_adatok!AX11/modositott_ei!AX11</f>
        <v>1.1616283064239092</v>
      </c>
      <c r="AY11" s="164"/>
      <c r="AZ11" s="164"/>
      <c r="BA11" s="164"/>
      <c r="BB11" s="164"/>
      <c r="BC11" s="187"/>
      <c r="BD11" s="190">
        <f>6m_teljesitesi_adatok!BD11/modositott_ei!BD11</f>
        <v>1.2708691171418756</v>
      </c>
      <c r="BE11" s="164"/>
      <c r="BF11" s="190"/>
      <c r="BG11" s="192">
        <f>6m_teljesitesi_adatok!BG11/modositott_ei!BG11</f>
        <v>1.2708691171418756</v>
      </c>
      <c r="BH11" s="166"/>
    </row>
    <row r="12" spans="1:60" s="7" customFormat="1" ht="12.75">
      <c r="A12" s="106"/>
      <c r="B12" s="105" t="s">
        <v>173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>
        <f>6m_teljesitesi_adatok!M12/modositott_ei!M12</f>
        <v>0.6070063694267516</v>
      </c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87">
        <f>6m_teljesitesi_adatok!AX12/modositott_ei!AX12</f>
        <v>0.6070063694267516</v>
      </c>
      <c r="AY12" s="164"/>
      <c r="AZ12" s="164"/>
      <c r="BA12" s="164"/>
      <c r="BB12" s="164"/>
      <c r="BC12" s="187"/>
      <c r="BD12" s="190">
        <f>6m_teljesitesi_adatok!BD12/modositott_ei!BD12</f>
        <v>0.6070063694267516</v>
      </c>
      <c r="BE12" s="164"/>
      <c r="BF12" s="190"/>
      <c r="BG12" s="192">
        <f>6m_teljesitesi_adatok!BG12/modositott_ei!BG12</f>
        <v>0.6070063694267516</v>
      </c>
      <c r="BH12" s="166"/>
    </row>
    <row r="13" spans="1:60" s="7" customFormat="1" ht="12.75">
      <c r="A13" s="103">
        <v>2</v>
      </c>
      <c r="B13" s="108" t="s">
        <v>78</v>
      </c>
      <c r="C13" s="188"/>
      <c r="D13" s="188"/>
      <c r="E13" s="188"/>
      <c r="F13" s="188"/>
      <c r="G13" s="188"/>
      <c r="H13" s="188">
        <f>6m_teljesitesi_adatok!H13/modositott_ei!H13</f>
        <v>0.43989071038251365</v>
      </c>
      <c r="I13" s="188">
        <f>6m_teljesitesi_adatok!I13/modositott_ei!I13</f>
        <v>0.4592668024439919</v>
      </c>
      <c r="J13" s="188"/>
      <c r="K13" s="188"/>
      <c r="L13" s="188"/>
      <c r="M13" s="188"/>
      <c r="N13" s="188"/>
      <c r="O13" s="188"/>
      <c r="P13" s="188"/>
      <c r="Q13" s="188"/>
      <c r="R13" s="188">
        <f>6m_teljesitesi_adatok!R13/modositott_ei!R13</f>
        <v>0.5947208810784446</v>
      </c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9">
        <f>6m_teljesitesi_adatok!AX13/modositott_ei!AX13</f>
        <v>0.5913203718657474</v>
      </c>
      <c r="AY13" s="188"/>
      <c r="AZ13" s="188"/>
      <c r="BA13" s="188"/>
      <c r="BB13" s="188"/>
      <c r="BC13" s="200"/>
      <c r="BD13" s="200">
        <f>6m_teljesitesi_adatok!BD13/modositott_ei!BD13</f>
        <v>0.5913203718657474</v>
      </c>
      <c r="BE13" s="188"/>
      <c r="BF13" s="200"/>
      <c r="BG13" s="201">
        <f>6m_teljesitesi_adatok!BG13/modositott_ei!BG13</f>
        <v>0.5913203718657474</v>
      </c>
      <c r="BH13" s="166"/>
    </row>
    <row r="14" spans="1:60" s="7" customFormat="1" ht="12.75">
      <c r="A14" s="109"/>
      <c r="B14" s="105" t="s">
        <v>146</v>
      </c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>
        <f>6m_teljesitesi_adatok!R14/modositott_ei!R14</f>
        <v>0.7886538101479124</v>
      </c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87">
        <f>6m_teljesitesi_adatok!AX14/modositott_ei!AX14</f>
        <v>0.7886538101479124</v>
      </c>
      <c r="AY14" s="164"/>
      <c r="AZ14" s="164"/>
      <c r="BA14" s="164"/>
      <c r="BB14" s="164"/>
      <c r="BC14" s="187"/>
      <c r="BD14" s="190">
        <f>6m_teljesitesi_adatok!BD14/modositott_ei!BD14</f>
        <v>0.7886538101479124</v>
      </c>
      <c r="BE14" s="164"/>
      <c r="BF14" s="190"/>
      <c r="BG14" s="192">
        <f>6m_teljesitesi_adatok!BG14/modositott_ei!BG14</f>
        <v>0.7886538101479124</v>
      </c>
      <c r="BH14" s="166"/>
    </row>
    <row r="15" spans="1:60" s="7" customFormat="1" ht="12.75">
      <c r="A15" s="106"/>
      <c r="B15" s="105" t="s">
        <v>147</v>
      </c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>
        <f>6m_teljesitesi_adatok!R15/modositott_ei!R15</f>
        <v>0.55</v>
      </c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87">
        <f>6m_teljesitesi_adatok!AX15/modositott_ei!AX15</f>
        <v>0.55</v>
      </c>
      <c r="AY15" s="164"/>
      <c r="AZ15" s="164"/>
      <c r="BA15" s="164"/>
      <c r="BB15" s="164"/>
      <c r="BC15" s="187"/>
      <c r="BD15" s="190">
        <f>6m_teljesitesi_adatok!BD15/modositott_ei!BD15</f>
        <v>0.55</v>
      </c>
      <c r="BE15" s="164"/>
      <c r="BF15" s="190"/>
      <c r="BG15" s="192">
        <f>6m_teljesitesi_adatok!BG15/modositott_ei!BG15</f>
        <v>0.55</v>
      </c>
      <c r="BH15" s="166"/>
    </row>
    <row r="16" spans="1:60" s="7" customFormat="1" ht="12.75">
      <c r="A16" s="106"/>
      <c r="B16" s="105" t="s">
        <v>148</v>
      </c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>
        <f>6m_teljesitesi_adatok!R16/modositott_ei!R16</f>
        <v>0.6883636363636364</v>
      </c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87">
        <f>6m_teljesitesi_adatok!AX16/modositott_ei!AX16</f>
        <v>0.6883636363636364</v>
      </c>
      <c r="AY16" s="164"/>
      <c r="AZ16" s="164"/>
      <c r="BA16" s="164"/>
      <c r="BB16" s="164"/>
      <c r="BC16" s="187"/>
      <c r="BD16" s="190">
        <f>6m_teljesitesi_adatok!BD16/modositott_ei!BD16</f>
        <v>0.6883636363636364</v>
      </c>
      <c r="BE16" s="164"/>
      <c r="BF16" s="190"/>
      <c r="BG16" s="192">
        <f>6m_teljesitesi_adatok!BG16/modositott_ei!BG16</f>
        <v>0.6883636363636364</v>
      </c>
      <c r="BH16" s="166"/>
    </row>
    <row r="17" spans="1:60" s="7" customFormat="1" ht="12.75">
      <c r="A17" s="106"/>
      <c r="B17" s="105" t="s">
        <v>149</v>
      </c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>
        <f>6m_teljesitesi_adatok!R17/modositott_ei!R17</f>
        <v>0.5230125523012552</v>
      </c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87">
        <f>6m_teljesitesi_adatok!AX17/modositott_ei!AX17</f>
        <v>0.5230125523012552</v>
      </c>
      <c r="AY17" s="164"/>
      <c r="AZ17" s="164"/>
      <c r="BA17" s="164"/>
      <c r="BB17" s="164"/>
      <c r="BC17" s="187"/>
      <c r="BD17" s="190">
        <f>6m_teljesitesi_adatok!BD17/modositott_ei!BD17</f>
        <v>0.5230125523012552</v>
      </c>
      <c r="BE17" s="164"/>
      <c r="BF17" s="190"/>
      <c r="BG17" s="192">
        <f>6m_teljesitesi_adatok!BG17/modositott_ei!BG17</f>
        <v>0.5230125523012552</v>
      </c>
      <c r="BH17" s="166"/>
    </row>
    <row r="18" spans="1:60" s="7" customFormat="1" ht="12.75">
      <c r="A18" s="106"/>
      <c r="B18" s="105" t="s">
        <v>150</v>
      </c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>
        <f>6m_teljesitesi_adatok!R18/modositott_ei!R18</f>
        <v>0.5230073707140939</v>
      </c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87">
        <f>6m_teljesitesi_adatok!AX18/modositott_ei!AX18</f>
        <v>0.5230073707140939</v>
      </c>
      <c r="AY18" s="164"/>
      <c r="AZ18" s="164"/>
      <c r="BA18" s="164"/>
      <c r="BB18" s="164"/>
      <c r="BC18" s="187"/>
      <c r="BD18" s="190">
        <f>6m_teljesitesi_adatok!BD18/modositott_ei!BD18</f>
        <v>0.5230073707140939</v>
      </c>
      <c r="BE18" s="164"/>
      <c r="BF18" s="190"/>
      <c r="BG18" s="192">
        <f>6m_teljesitesi_adatok!BG18/modositott_ei!BG18</f>
        <v>0.5230073707140939</v>
      </c>
      <c r="BH18" s="166"/>
    </row>
    <row r="19" spans="1:60" s="7" customFormat="1" ht="12.75">
      <c r="A19" s="106"/>
      <c r="B19" s="105" t="s">
        <v>151</v>
      </c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>
        <f>6m_teljesitesi_adatok!R19/modositott_ei!R19</f>
        <v>0</v>
      </c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87">
        <f>6m_teljesitesi_adatok!AX19/modositott_ei!AX19</f>
        <v>0</v>
      </c>
      <c r="AY19" s="164"/>
      <c r="AZ19" s="164"/>
      <c r="BA19" s="164"/>
      <c r="BB19" s="164"/>
      <c r="BC19" s="187"/>
      <c r="BD19" s="190">
        <f>6m_teljesitesi_adatok!BD19/modositott_ei!BD19</f>
        <v>0</v>
      </c>
      <c r="BE19" s="164"/>
      <c r="BF19" s="190"/>
      <c r="BG19" s="192">
        <f>6m_teljesitesi_adatok!BG19/modositott_ei!BG19</f>
        <v>0</v>
      </c>
      <c r="BH19" s="166"/>
    </row>
    <row r="20" spans="1:60" s="7" customFormat="1" ht="12.75">
      <c r="A20" s="106"/>
      <c r="B20" s="105" t="s">
        <v>152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>
        <f>6m_teljesitesi_adatok!R20/modositott_ei!R20</f>
        <v>0.842</v>
      </c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87">
        <f>6m_teljesitesi_adatok!AX20/modositott_ei!AX20</f>
        <v>0.842</v>
      </c>
      <c r="AY20" s="164"/>
      <c r="AZ20" s="164"/>
      <c r="BA20" s="164"/>
      <c r="BB20" s="164"/>
      <c r="BC20" s="187"/>
      <c r="BD20" s="190">
        <f>6m_teljesitesi_adatok!BD20/modositott_ei!BD20</f>
        <v>0.842</v>
      </c>
      <c r="BE20" s="164"/>
      <c r="BF20" s="190"/>
      <c r="BG20" s="192">
        <f>6m_teljesitesi_adatok!BG20/modositott_ei!BG20</f>
        <v>0.842</v>
      </c>
      <c r="BH20" s="166"/>
    </row>
    <row r="21" spans="1:60" s="7" customFormat="1" ht="12.75">
      <c r="A21" s="110"/>
      <c r="B21" s="105" t="s">
        <v>153</v>
      </c>
      <c r="C21" s="164"/>
      <c r="D21" s="164"/>
      <c r="E21" s="164"/>
      <c r="F21" s="164"/>
      <c r="G21" s="164"/>
      <c r="H21" s="164">
        <f>6m_teljesitesi_adatok!H21/modositott_ei!H21</f>
        <v>0.43989071038251365</v>
      </c>
      <c r="I21" s="164">
        <f>6m_teljesitesi_adatok!I21/modositott_ei!I21</f>
        <v>0.4592668024439919</v>
      </c>
      <c r="J21" s="164"/>
      <c r="K21" s="164"/>
      <c r="L21" s="164"/>
      <c r="M21" s="164"/>
      <c r="N21" s="164"/>
      <c r="O21" s="164"/>
      <c r="P21" s="164"/>
      <c r="Q21" s="164"/>
      <c r="R21" s="164">
        <f>6m_teljesitesi_adatok!R21/modositott_ei!R21</f>
        <v>1.52</v>
      </c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87">
        <f>6m_teljesitesi_adatok!AX21/modositott_ei!AX21</f>
        <v>0.4812925170068027</v>
      </c>
      <c r="AY21" s="164"/>
      <c r="AZ21" s="164"/>
      <c r="BA21" s="164"/>
      <c r="BB21" s="164"/>
      <c r="BC21" s="187"/>
      <c r="BD21" s="190">
        <f>6m_teljesitesi_adatok!BD21/modositott_ei!BD21</f>
        <v>0.4812925170068027</v>
      </c>
      <c r="BE21" s="164"/>
      <c r="BF21" s="190"/>
      <c r="BG21" s="192">
        <f>6m_teljesitesi_adatok!BG21/modositott_ei!BG21</f>
        <v>0.4812925170068027</v>
      </c>
      <c r="BH21" s="166"/>
    </row>
    <row r="22" spans="1:60" s="7" customFormat="1" ht="12.75">
      <c r="A22" s="103">
        <v>3</v>
      </c>
      <c r="B22" s="111" t="s">
        <v>72</v>
      </c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>
        <f>6m_teljesitesi_adatok!R22/modositott_ei!R22</f>
        <v>0.49669468495228464</v>
      </c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9">
        <f>6m_teljesitesi_adatok!AX22/modositott_ei!AX22</f>
        <v>0.49669468495228464</v>
      </c>
      <c r="AY22" s="188"/>
      <c r="AZ22" s="188"/>
      <c r="BA22" s="188"/>
      <c r="BB22" s="188"/>
      <c r="BC22" s="200"/>
      <c r="BD22" s="200">
        <f>6m_teljesitesi_adatok!BD22/modositott_ei!BD22</f>
        <v>0.49669468495228464</v>
      </c>
      <c r="BE22" s="200"/>
      <c r="BF22" s="200"/>
      <c r="BG22" s="201">
        <f>6m_teljesitesi_adatok!BG22/modositott_ei!BG22</f>
        <v>0.49669468495228464</v>
      </c>
      <c r="BH22" s="166"/>
    </row>
    <row r="23" spans="1:60" s="7" customFormat="1" ht="12.75">
      <c r="A23" s="106"/>
      <c r="B23" s="112" t="s">
        <v>182</v>
      </c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>
        <f>6m_teljesitesi_adatok!R23/modositott_ei!R23</f>
        <v>0.5230108253128459</v>
      </c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4"/>
      <c r="AF23" s="164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87">
        <f>6m_teljesitesi_adatok!AX23/modositott_ei!AX23</f>
        <v>0.5230108253128459</v>
      </c>
      <c r="AY23" s="164"/>
      <c r="AZ23" s="164"/>
      <c r="BA23" s="164"/>
      <c r="BB23" s="164"/>
      <c r="BC23" s="187"/>
      <c r="BD23" s="190">
        <f>6m_teljesitesi_adatok!BD23/modositott_ei!BD23</f>
        <v>0.5230108253128459</v>
      </c>
      <c r="BE23" s="164"/>
      <c r="BF23" s="190"/>
      <c r="BG23" s="192">
        <f>6m_teljesitesi_adatok!BG23/modositott_ei!BG23</f>
        <v>0.5230108253128459</v>
      </c>
      <c r="BH23" s="166"/>
    </row>
    <row r="24" spans="1:60" s="7" customFormat="1" ht="12.75">
      <c r="A24" s="106"/>
      <c r="B24" s="113" t="s">
        <v>154</v>
      </c>
      <c r="C24" s="164"/>
      <c r="D24" s="164"/>
      <c r="E24" s="164"/>
      <c r="F24" s="164"/>
      <c r="G24" s="164"/>
      <c r="H24" s="164"/>
      <c r="I24" s="164"/>
      <c r="J24" s="164"/>
      <c r="K24" s="164"/>
      <c r="L24" s="164"/>
      <c r="M24" s="164"/>
      <c r="N24" s="164"/>
      <c r="O24" s="164"/>
      <c r="P24" s="164"/>
      <c r="Q24" s="164"/>
      <c r="R24" s="164">
        <f>6m_teljesitesi_adatok!R24/modositott_ei!R24</f>
        <v>0.4975108324882456</v>
      </c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64"/>
      <c r="AF24" s="164"/>
      <c r="AG24" s="164"/>
      <c r="AH24" s="164"/>
      <c r="AI24" s="164"/>
      <c r="AJ24" s="164"/>
      <c r="AK24" s="164"/>
      <c r="AL24" s="164"/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87">
        <f>6m_teljesitesi_adatok!AX24/modositott_ei!AX24</f>
        <v>0.4975108324882456</v>
      </c>
      <c r="AY24" s="164"/>
      <c r="AZ24" s="164"/>
      <c r="BA24" s="164"/>
      <c r="BB24" s="164"/>
      <c r="BC24" s="187"/>
      <c r="BD24" s="190">
        <f>6m_teljesitesi_adatok!BD24/modositott_ei!BD24</f>
        <v>0.4975108324882456</v>
      </c>
      <c r="BE24" s="164"/>
      <c r="BF24" s="190"/>
      <c r="BG24" s="192">
        <f>6m_teljesitesi_adatok!BG24/modositott_ei!BG24</f>
        <v>0.4975108324882456</v>
      </c>
      <c r="BH24" s="166"/>
    </row>
    <row r="25" spans="1:60" s="7" customFormat="1" ht="12.75">
      <c r="A25" s="106"/>
      <c r="B25" s="113" t="s">
        <v>155</v>
      </c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>
        <f>6m_teljesitesi_adatok!R25/modositott_ei!R25</f>
        <v>0.15194174757281553</v>
      </c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87">
        <f>6m_teljesitesi_adatok!AX25/modositott_ei!AX25</f>
        <v>0.15194174757281553</v>
      </c>
      <c r="AY25" s="164"/>
      <c r="AZ25" s="164"/>
      <c r="BA25" s="164"/>
      <c r="BB25" s="164"/>
      <c r="BC25" s="187"/>
      <c r="BD25" s="190">
        <f>6m_teljesitesi_adatok!BD25/modositott_ei!BD25</f>
        <v>0.15194174757281553</v>
      </c>
      <c r="BE25" s="164"/>
      <c r="BF25" s="190"/>
      <c r="BG25" s="192">
        <f>6m_teljesitesi_adatok!BG25/modositott_ei!BG25</f>
        <v>0.15194174757281553</v>
      </c>
      <c r="BH25" s="166"/>
    </row>
    <row r="26" spans="1:60" s="7" customFormat="1" ht="12.75">
      <c r="A26" s="103">
        <v>4</v>
      </c>
      <c r="B26" s="111" t="s">
        <v>71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>
        <f>6m_teljesitesi_adatok!L26/modositott_ei!L26</f>
        <v>1</v>
      </c>
      <c r="M26" s="188">
        <f>6m_teljesitesi_adatok!M26/modositott_ei!M26</f>
        <v>1.4198359433258763</v>
      </c>
      <c r="N26" s="188"/>
      <c r="O26" s="188"/>
      <c r="P26" s="188"/>
      <c r="Q26" s="188"/>
      <c r="R26" s="188"/>
      <c r="S26" s="188"/>
      <c r="T26" s="188"/>
      <c r="U26" s="188"/>
      <c r="V26" s="188">
        <f>6m_teljesitesi_adatok!V26/modositott_ei!V26</f>
        <v>0.443048128342246</v>
      </c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>
        <f>6m_teljesitesi_adatok!AR26/modositott_ei!AR26</f>
        <v>0.14166666666666666</v>
      </c>
      <c r="AS26" s="188"/>
      <c r="AT26" s="188"/>
      <c r="AU26" s="188"/>
      <c r="AV26" s="188"/>
      <c r="AW26" s="188"/>
      <c r="AX26" s="189">
        <f>6m_teljesitesi_adatok!AX26/modositott_ei!AX26</f>
        <v>0.41215799218267846</v>
      </c>
      <c r="AY26" s="188"/>
      <c r="AZ26" s="188">
        <f>6m_teljesitesi_adatok!AZ26/modositott_ei!AZ26</f>
        <v>0.10923694779116466</v>
      </c>
      <c r="BA26" s="188"/>
      <c r="BB26" s="188"/>
      <c r="BC26" s="200">
        <f>6m_teljesitesi_adatok!BC26/modositott_ei!BC26</f>
        <v>0.10923694779116466</v>
      </c>
      <c r="BD26" s="203">
        <f>6m_teljesitesi_adatok!BD26/modositott_ei!BD26</f>
        <v>0.32808203908746375</v>
      </c>
      <c r="BE26" s="200">
        <f>6m_teljesitesi_adatok!BE26/modositott_ei!BE26</f>
        <v>0.9952380952380953</v>
      </c>
      <c r="BF26" s="200">
        <f>6m_teljesitesi_adatok!BF26/modositott_ei!BF26</f>
        <v>0.9952380952380953</v>
      </c>
      <c r="BG26" s="201">
        <f>6m_teljesitesi_adatok!BG26/modositott_ei!BG26</f>
        <v>0.33833321138508815</v>
      </c>
      <c r="BH26" s="166"/>
    </row>
    <row r="27" spans="1:60" s="7" customFormat="1" ht="12.75">
      <c r="A27" s="114"/>
      <c r="B27" s="113" t="s">
        <v>156</v>
      </c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87"/>
      <c r="AY27" s="164"/>
      <c r="AZ27" s="164">
        <f>6m_teljesitesi_adatok!AZ27/modositott_ei!AZ27</f>
        <v>0.10923694779116466</v>
      </c>
      <c r="BA27" s="164"/>
      <c r="BB27" s="164"/>
      <c r="BC27" s="187">
        <f>6m_teljesitesi_adatok!BC27/modositott_ei!BC27</f>
        <v>0.10923694779116466</v>
      </c>
      <c r="BD27" s="190">
        <f>6m_teljesitesi_adatok!BD27/modositott_ei!BD27</f>
        <v>0.10923694779116466</v>
      </c>
      <c r="BE27" s="164"/>
      <c r="BF27" s="190"/>
      <c r="BG27" s="192">
        <f>6m_teljesitesi_adatok!BG27/modositott_ei!BG27</f>
        <v>0.10923694779116466</v>
      </c>
      <c r="BH27" s="166"/>
    </row>
    <row r="28" spans="1:60" s="7" customFormat="1" ht="12.75">
      <c r="A28" s="115"/>
      <c r="B28" s="113" t="s">
        <v>157</v>
      </c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4"/>
      <c r="AI28" s="164"/>
      <c r="AJ28" s="164"/>
      <c r="AK28" s="164"/>
      <c r="AL28" s="164"/>
      <c r="AM28" s="164"/>
      <c r="AN28" s="164"/>
      <c r="AO28" s="164"/>
      <c r="AP28" s="164"/>
      <c r="AQ28" s="164"/>
      <c r="AR28" s="164"/>
      <c r="AS28" s="164"/>
      <c r="AT28" s="164"/>
      <c r="AU28" s="164"/>
      <c r="AV28" s="164"/>
      <c r="AW28" s="164"/>
      <c r="AX28" s="187">
        <f>6m_teljesitesi_adatok!AX28/modositott_ei!AX28</f>
        <v>0</v>
      </c>
      <c r="AY28" s="164"/>
      <c r="AZ28" s="164"/>
      <c r="BA28" s="164"/>
      <c r="BB28" s="164"/>
      <c r="BC28" s="187"/>
      <c r="BD28" s="190">
        <f>6m_teljesitesi_adatok!BD28/modositott_ei!BD28</f>
        <v>0</v>
      </c>
      <c r="BE28" s="164">
        <f>6m_teljesitesi_adatok!BE28/modositott_ei!BE28</f>
        <v>0.9952380952380953</v>
      </c>
      <c r="BF28" s="190">
        <f>6m_teljesitesi_adatok!BF28/modositott_ei!BF28</f>
        <v>0.9952380952380953</v>
      </c>
      <c r="BG28" s="192">
        <f>6m_teljesitesi_adatok!BG28/modositott_ei!BG28</f>
        <v>0.9047619047619048</v>
      </c>
      <c r="BH28" s="166"/>
    </row>
    <row r="29" spans="1:60" s="7" customFormat="1" ht="12.75">
      <c r="A29" s="115"/>
      <c r="B29" s="113" t="s">
        <v>158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>
        <f>6m_teljesitesi_adatok!M29/modositott_ei!M29</f>
        <v>1.4198359433258763</v>
      </c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>
        <f>6m_teljesitesi_adatok!AR29/modositott_ei!AR29</f>
        <v>0.14166666666666666</v>
      </c>
      <c r="AS29" s="164"/>
      <c r="AT29" s="164"/>
      <c r="AU29" s="164"/>
      <c r="AV29" s="164"/>
      <c r="AW29" s="164"/>
      <c r="AX29" s="187">
        <f>6m_teljesitesi_adatok!AX29/modositott_ei!AX29</f>
        <v>0.3942291561818487</v>
      </c>
      <c r="AY29" s="164"/>
      <c r="AZ29" s="164"/>
      <c r="BA29" s="164"/>
      <c r="BB29" s="164"/>
      <c r="BC29" s="187"/>
      <c r="BD29" s="190">
        <f>6m_teljesitesi_adatok!BD29/modositott_ei!BD29</f>
        <v>0.3942291561818487</v>
      </c>
      <c r="BE29" s="164"/>
      <c r="BF29" s="190"/>
      <c r="BG29" s="192">
        <f>6m_teljesitesi_adatok!BG29/modositott_ei!BG29</f>
        <v>0.3942291561818487</v>
      </c>
      <c r="BH29" s="166"/>
    </row>
    <row r="30" spans="1:60" s="7" customFormat="1" ht="12.75">
      <c r="A30" s="116"/>
      <c r="B30" s="113" t="s">
        <v>159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>
        <f>6m_teljesitesi_adatok!V30/modositott_ei!V30</f>
        <v>0.443048128342246</v>
      </c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4"/>
      <c r="AI30" s="164"/>
      <c r="AJ30" s="164"/>
      <c r="AK30" s="164"/>
      <c r="AL30" s="164"/>
      <c r="AM30" s="164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87">
        <f>6m_teljesitesi_adatok!AX30/modositott_ei!AX30</f>
        <v>0.443048128342246</v>
      </c>
      <c r="AY30" s="164"/>
      <c r="AZ30" s="164"/>
      <c r="BA30" s="164"/>
      <c r="BB30" s="164"/>
      <c r="BC30" s="187"/>
      <c r="BD30" s="190">
        <f>6m_teljesitesi_adatok!BD30/modositott_ei!BD30</f>
        <v>0.443048128342246</v>
      </c>
      <c r="BE30" s="164"/>
      <c r="BF30" s="190"/>
      <c r="BG30" s="192">
        <f>6m_teljesitesi_adatok!BG30/modositott_ei!BG30</f>
        <v>0.443048128342246</v>
      </c>
      <c r="BH30" s="166"/>
    </row>
    <row r="31" spans="1:60" s="7" customFormat="1" ht="12.75">
      <c r="A31" s="103">
        <v>5</v>
      </c>
      <c r="B31" s="111" t="s">
        <v>70</v>
      </c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>
        <f>6m_teljesitesi_adatok!AW31/modositott_ei!AW31</f>
        <v>0.5</v>
      </c>
      <c r="AX31" s="189">
        <f>6m_teljesitesi_adatok!AX31/modositott_ei!AX31</f>
        <v>0.5</v>
      </c>
      <c r="AY31" s="188"/>
      <c r="AZ31" s="188"/>
      <c r="BA31" s="188"/>
      <c r="BB31" s="188"/>
      <c r="BC31" s="200"/>
      <c r="BD31" s="203">
        <f>6m_teljesitesi_adatok!BD31/modositott_ei!BD31</f>
        <v>0.5</v>
      </c>
      <c r="BE31" s="200"/>
      <c r="BF31" s="200"/>
      <c r="BG31" s="201">
        <f>6m_teljesitesi_adatok!BG31/modositott_ei!BG31</f>
        <v>0.5</v>
      </c>
      <c r="BH31" s="166"/>
    </row>
    <row r="32" spans="1:60" s="7" customFormat="1" ht="12.75">
      <c r="A32" s="117"/>
      <c r="B32" s="113" t="s">
        <v>160</v>
      </c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4"/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>
        <f>6m_teljesitesi_adatok!AW32/modositott_ei!AW32</f>
        <v>0.5</v>
      </c>
      <c r="AX32" s="187">
        <f>6m_teljesitesi_adatok!AX32/modositott_ei!AX32</f>
        <v>0.5</v>
      </c>
      <c r="AY32" s="164"/>
      <c r="AZ32" s="164"/>
      <c r="BA32" s="164"/>
      <c r="BB32" s="164"/>
      <c r="BC32" s="187"/>
      <c r="BD32" s="190">
        <f>6m_teljesitesi_adatok!BD32/modositott_ei!BD32</f>
        <v>0.5</v>
      </c>
      <c r="BE32" s="164"/>
      <c r="BF32" s="190"/>
      <c r="BG32" s="192">
        <f>6m_teljesitesi_adatok!BG32/modositott_ei!BG32</f>
        <v>0.5</v>
      </c>
      <c r="BH32" s="166"/>
    </row>
    <row r="33" spans="1:60" s="7" customFormat="1" ht="12.75">
      <c r="A33" s="103">
        <v>6</v>
      </c>
      <c r="B33" s="118" t="s">
        <v>68</v>
      </c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>
        <f>6m_teljesitesi_adatok!M33/modositott_ei!M33</f>
        <v>1</v>
      </c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9">
        <f>6m_teljesitesi_adatok!AX33/modositott_ei!AX33</f>
        <v>1</v>
      </c>
      <c r="AY33" s="188"/>
      <c r="AZ33" s="188"/>
      <c r="BA33" s="188"/>
      <c r="BB33" s="188"/>
      <c r="BC33" s="200"/>
      <c r="BD33" s="203">
        <f>6m_teljesitesi_adatok!BD33/modositott_ei!BD33</f>
        <v>1</v>
      </c>
      <c r="BE33" s="200"/>
      <c r="BF33" s="200"/>
      <c r="BG33" s="201">
        <f>6m_teljesitesi_adatok!BG33/modositott_ei!BG33</f>
        <v>1</v>
      </c>
      <c r="BH33" s="166"/>
    </row>
    <row r="34" spans="1:60" s="7" customFormat="1" ht="12.75">
      <c r="A34" s="117"/>
      <c r="B34" s="113" t="s">
        <v>161</v>
      </c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>
        <f>6m_teljesitesi_adatok!M34/modositott_ei!M34</f>
        <v>1</v>
      </c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87">
        <f>6m_teljesitesi_adatok!AX34/modositott_ei!AX34</f>
        <v>1</v>
      </c>
      <c r="AY34" s="164"/>
      <c r="AZ34" s="164"/>
      <c r="BA34" s="164"/>
      <c r="BB34" s="164"/>
      <c r="BC34" s="187"/>
      <c r="BD34" s="190">
        <f>6m_teljesitesi_adatok!BD34/modositott_ei!BD34</f>
        <v>1</v>
      </c>
      <c r="BE34" s="164"/>
      <c r="BF34" s="190"/>
      <c r="BG34" s="192">
        <f>6m_teljesitesi_adatok!BG34/modositott_ei!BG34</f>
        <v>1</v>
      </c>
      <c r="BH34" s="166"/>
    </row>
    <row r="35" spans="1:60" s="7" customFormat="1" ht="12.75">
      <c r="A35" s="103">
        <v>7</v>
      </c>
      <c r="B35" s="111" t="s">
        <v>63</v>
      </c>
      <c r="C35" s="188"/>
      <c r="D35" s="188"/>
      <c r="E35" s="188"/>
      <c r="F35" s="188"/>
      <c r="G35" s="18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9"/>
      <c r="AY35" s="188"/>
      <c r="AZ35" s="188"/>
      <c r="BA35" s="188"/>
      <c r="BB35" s="188"/>
      <c r="BC35" s="200"/>
      <c r="BD35" s="203"/>
      <c r="BE35" s="200"/>
      <c r="BF35" s="200"/>
      <c r="BG35" s="201"/>
      <c r="BH35" s="166"/>
    </row>
    <row r="36" spans="1:60" s="7" customFormat="1" ht="12.75">
      <c r="A36" s="117"/>
      <c r="B36" s="113" t="s">
        <v>162</v>
      </c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87"/>
      <c r="AY36" s="164"/>
      <c r="AZ36" s="164"/>
      <c r="BA36" s="164"/>
      <c r="BB36" s="164"/>
      <c r="BC36" s="187"/>
      <c r="BD36" s="190"/>
      <c r="BE36" s="164"/>
      <c r="BF36" s="190"/>
      <c r="BG36" s="192"/>
      <c r="BH36" s="166"/>
    </row>
    <row r="37" spans="1:60" s="7" customFormat="1" ht="15.75">
      <c r="A37" s="99" t="s">
        <v>79</v>
      </c>
      <c r="B37" s="100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9"/>
      <c r="AY37" s="188"/>
      <c r="AZ37" s="188"/>
      <c r="BA37" s="188"/>
      <c r="BB37" s="188"/>
      <c r="BC37" s="200"/>
      <c r="BD37" s="203"/>
      <c r="BE37" s="200"/>
      <c r="BF37" s="200"/>
      <c r="BG37" s="201"/>
      <c r="BH37" s="166"/>
    </row>
    <row r="38" spans="1:60" s="7" customFormat="1" ht="12.75">
      <c r="A38" s="103">
        <v>8</v>
      </c>
      <c r="B38" s="108" t="s">
        <v>73</v>
      </c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>
        <f>6m_teljesitesi_adatok!M38/modositott_ei!M38</f>
        <v>0.004199160167966407</v>
      </c>
      <c r="N38" s="188"/>
      <c r="O38" s="188"/>
      <c r="P38" s="188"/>
      <c r="Q38" s="188"/>
      <c r="R38" s="188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9">
        <f>6m_teljesitesi_adatok!AX38/modositott_ei!AX38</f>
        <v>0.004199160167966407</v>
      </c>
      <c r="AY38" s="188"/>
      <c r="AZ38" s="188"/>
      <c r="BA38" s="188"/>
      <c r="BB38" s="188"/>
      <c r="BC38" s="200"/>
      <c r="BD38" s="203">
        <f>6m_teljesitesi_adatok!BD38/modositott_ei!BD38</f>
        <v>0.004199160167966407</v>
      </c>
      <c r="BE38" s="200"/>
      <c r="BF38" s="200"/>
      <c r="BG38" s="201">
        <f>6m_teljesitesi_adatok!BG38/modositott_ei!BG38</f>
        <v>0.004199160167966407</v>
      </c>
      <c r="BH38" s="166"/>
    </row>
    <row r="39" spans="1:60" s="7" customFormat="1" ht="12.75">
      <c r="A39" s="109"/>
      <c r="B39" s="119" t="s">
        <v>163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>
        <f>6m_teljesitesi_adatok!M39/modositott_ei!M39</f>
        <v>0.004199160167966407</v>
      </c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4"/>
      <c r="AL39" s="164"/>
      <c r="AM39" s="164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87">
        <f>6m_teljesitesi_adatok!AX39/modositott_ei!AX39</f>
        <v>0.004199160167966407</v>
      </c>
      <c r="AY39" s="164"/>
      <c r="AZ39" s="164"/>
      <c r="BA39" s="164"/>
      <c r="BB39" s="164"/>
      <c r="BC39" s="187"/>
      <c r="BD39" s="190">
        <f>6m_teljesitesi_adatok!BD39/modositott_ei!BD39</f>
        <v>0.004199160167966407</v>
      </c>
      <c r="BE39" s="164"/>
      <c r="BF39" s="190"/>
      <c r="BG39" s="192">
        <f>6m_teljesitesi_adatok!BG39/modositott_ei!BG39</f>
        <v>0.004199160167966407</v>
      </c>
      <c r="BH39" s="166"/>
    </row>
    <row r="40" spans="1:60" s="7" customFormat="1" ht="12.75">
      <c r="A40" s="103">
        <v>9</v>
      </c>
      <c r="B40" s="108" t="s">
        <v>80</v>
      </c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>
        <f>6m_teljesitesi_adatok!M40/modositott_ei!M40</f>
        <v>0.972494196023014</v>
      </c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9">
        <f>6m_teljesitesi_adatok!AX40/modositott_ei!AX40</f>
        <v>0.972494196023014</v>
      </c>
      <c r="AY40" s="188"/>
      <c r="AZ40" s="188"/>
      <c r="BA40" s="188"/>
      <c r="BB40" s="188"/>
      <c r="BC40" s="200"/>
      <c r="BD40" s="203">
        <f>6m_teljesitesi_adatok!BD40/modositott_ei!BD40</f>
        <v>0.972494196023014</v>
      </c>
      <c r="BE40" s="200"/>
      <c r="BF40" s="200"/>
      <c r="BG40" s="201">
        <f>6m_teljesitesi_adatok!BG40/modositott_ei!BG40</f>
        <v>0.972494196023014</v>
      </c>
      <c r="BH40" s="166"/>
    </row>
    <row r="41" spans="1:60" s="7" customFormat="1" ht="12.75">
      <c r="A41" s="106"/>
      <c r="B41" s="120" t="s">
        <v>164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>
        <f>6m_teljesitesi_adatok!M41/modositott_ei!M41</f>
        <v>0.972494196023014</v>
      </c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4"/>
      <c r="AL41" s="164"/>
      <c r="AM41" s="164"/>
      <c r="AN41" s="164"/>
      <c r="AO41" s="164"/>
      <c r="AP41" s="164"/>
      <c r="AQ41" s="164"/>
      <c r="AR41" s="164"/>
      <c r="AS41" s="164"/>
      <c r="AT41" s="164"/>
      <c r="AU41" s="164"/>
      <c r="AV41" s="164"/>
      <c r="AW41" s="164"/>
      <c r="AX41" s="187">
        <f>6m_teljesitesi_adatok!AX41/modositott_ei!AX41</f>
        <v>0.972494196023014</v>
      </c>
      <c r="AY41" s="164"/>
      <c r="AZ41" s="164"/>
      <c r="BA41" s="164"/>
      <c r="BB41" s="164"/>
      <c r="BC41" s="187"/>
      <c r="BD41" s="190">
        <f>6m_teljesitesi_adatok!BD41/modositott_ei!BD41</f>
        <v>0.972494196023014</v>
      </c>
      <c r="BE41" s="164"/>
      <c r="BF41" s="190"/>
      <c r="BG41" s="192">
        <f>6m_teljesitesi_adatok!BG41/modositott_ei!BG41</f>
        <v>0.972494196023014</v>
      </c>
      <c r="BH41" s="166"/>
    </row>
    <row r="42" spans="1:60" s="11" customFormat="1" ht="12.75">
      <c r="A42" s="103">
        <v>10</v>
      </c>
      <c r="B42" s="111" t="s">
        <v>214</v>
      </c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9"/>
      <c r="AY42" s="188"/>
      <c r="AZ42" s="188"/>
      <c r="BA42" s="188"/>
      <c r="BB42" s="188"/>
      <c r="BC42" s="200"/>
      <c r="BD42" s="203"/>
      <c r="BE42" s="200"/>
      <c r="BF42" s="200"/>
      <c r="BG42" s="201"/>
      <c r="BH42" s="167"/>
    </row>
    <row r="43" spans="1:60" s="10" customFormat="1" ht="12.75">
      <c r="A43" s="117"/>
      <c r="B43" s="121" t="s">
        <v>212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4"/>
      <c r="AL43" s="164"/>
      <c r="AM43" s="164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87"/>
      <c r="AY43" s="164"/>
      <c r="AZ43" s="164"/>
      <c r="BA43" s="164"/>
      <c r="BB43" s="164"/>
      <c r="BC43" s="187"/>
      <c r="BD43" s="190"/>
      <c r="BE43" s="164"/>
      <c r="BF43" s="190"/>
      <c r="BG43" s="192"/>
      <c r="BH43" s="168"/>
    </row>
    <row r="44" spans="1:60" s="7" customFormat="1" ht="12.75">
      <c r="A44" s="103">
        <v>11</v>
      </c>
      <c r="B44" s="122" t="s">
        <v>69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>
        <f>6m_teljesitesi_adatok!M44/modositott_ei!M44</f>
        <v>0.4717391304347826</v>
      </c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9">
        <f>6m_teljesitesi_adatok!AX44/modositott_ei!AX44</f>
        <v>0.4717391304347826</v>
      </c>
      <c r="AY44" s="188"/>
      <c r="AZ44" s="188"/>
      <c r="BA44" s="188"/>
      <c r="BB44" s="188"/>
      <c r="BC44" s="200"/>
      <c r="BD44" s="203">
        <f>6m_teljesitesi_adatok!BD44/modositott_ei!BD44</f>
        <v>0.4717391304347826</v>
      </c>
      <c r="BE44" s="200"/>
      <c r="BF44" s="200"/>
      <c r="BG44" s="201">
        <f>6m_teljesitesi_adatok!BG44/modositott_ei!BG44</f>
        <v>0.4717391304347826</v>
      </c>
      <c r="BH44" s="166"/>
    </row>
    <row r="45" spans="1:60" s="7" customFormat="1" ht="12.75">
      <c r="A45" s="123"/>
      <c r="B45" s="113" t="s">
        <v>165</v>
      </c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>
        <f>6m_teljesitesi_adatok!M45/modositott_ei!M45</f>
        <v>0.4717391304347826</v>
      </c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  <c r="Y45" s="164"/>
      <c r="Z45" s="164"/>
      <c r="AA45" s="164"/>
      <c r="AB45" s="164"/>
      <c r="AC45" s="164"/>
      <c r="AD45" s="164"/>
      <c r="AE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P45" s="164"/>
      <c r="AQ45" s="164"/>
      <c r="AR45" s="164"/>
      <c r="AS45" s="164"/>
      <c r="AT45" s="164"/>
      <c r="AU45" s="164"/>
      <c r="AV45" s="164"/>
      <c r="AW45" s="164"/>
      <c r="AX45" s="187">
        <f>6m_teljesitesi_adatok!AX45/modositott_ei!AX45</f>
        <v>0.4717391304347826</v>
      </c>
      <c r="AY45" s="164"/>
      <c r="AZ45" s="164"/>
      <c r="BA45" s="164"/>
      <c r="BB45" s="164"/>
      <c r="BC45" s="187"/>
      <c r="BD45" s="190">
        <f>6m_teljesitesi_adatok!BD45/modositott_ei!BD45</f>
        <v>0.4717391304347826</v>
      </c>
      <c r="BE45" s="164"/>
      <c r="BF45" s="190"/>
      <c r="BG45" s="192">
        <f>6m_teljesitesi_adatok!BG45/modositott_ei!BG45</f>
        <v>0.4717391304347826</v>
      </c>
      <c r="BH45" s="166"/>
    </row>
    <row r="46" spans="1:60" s="7" customFormat="1" ht="12.75">
      <c r="A46" s="124"/>
      <c r="B46" s="113" t="s">
        <v>166</v>
      </c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P46" s="164"/>
      <c r="AQ46" s="164"/>
      <c r="AR46" s="164"/>
      <c r="AS46" s="164"/>
      <c r="AT46" s="164"/>
      <c r="AU46" s="164"/>
      <c r="AV46" s="164"/>
      <c r="AW46" s="164"/>
      <c r="AX46" s="187"/>
      <c r="AY46" s="164"/>
      <c r="AZ46" s="164"/>
      <c r="BA46" s="164"/>
      <c r="BB46" s="164"/>
      <c r="BC46" s="187"/>
      <c r="BD46" s="190"/>
      <c r="BE46" s="164"/>
      <c r="BF46" s="190"/>
      <c r="BG46" s="192"/>
      <c r="BH46" s="166"/>
    </row>
    <row r="47" spans="1:60" s="7" customFormat="1" ht="15.75">
      <c r="A47" s="99" t="s">
        <v>81</v>
      </c>
      <c r="B47" s="100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9"/>
      <c r="AY47" s="188"/>
      <c r="AZ47" s="188"/>
      <c r="BA47" s="188"/>
      <c r="BB47" s="188"/>
      <c r="BC47" s="200"/>
      <c r="BD47" s="203"/>
      <c r="BE47" s="200"/>
      <c r="BF47" s="200"/>
      <c r="BG47" s="201"/>
      <c r="BH47" s="166"/>
    </row>
    <row r="48" spans="1:60" s="7" customFormat="1" ht="12.75">
      <c r="A48" s="103">
        <v>12</v>
      </c>
      <c r="B48" s="125" t="s">
        <v>64</v>
      </c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>
        <f>6m_teljesitesi_adatok!M48/modositott_ei!M48</f>
        <v>1.4</v>
      </c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9">
        <f>6m_teljesitesi_adatok!AX48/modositott_ei!AX48</f>
        <v>1.4</v>
      </c>
      <c r="AY48" s="188"/>
      <c r="AZ48" s="188"/>
      <c r="BA48" s="188"/>
      <c r="BB48" s="188"/>
      <c r="BC48" s="200"/>
      <c r="BD48" s="203">
        <f>6m_teljesitesi_adatok!BD48/modositott_ei!BD48</f>
        <v>1.4</v>
      </c>
      <c r="BE48" s="200"/>
      <c r="BF48" s="200"/>
      <c r="BG48" s="201">
        <f>6m_teljesitesi_adatok!BG48/modositott_ei!BG48</f>
        <v>1.4</v>
      </c>
      <c r="BH48" s="166"/>
    </row>
    <row r="49" spans="1:60" s="7" customFormat="1" ht="12.75">
      <c r="A49" s="117"/>
      <c r="B49" s="113" t="s">
        <v>167</v>
      </c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>
        <f>6m_teljesitesi_adatok!M49/modositott_ei!M49</f>
        <v>1.4</v>
      </c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87">
        <f>6m_teljesitesi_adatok!AX49/modositott_ei!AX49</f>
        <v>1.4</v>
      </c>
      <c r="AY49" s="164"/>
      <c r="AZ49" s="164"/>
      <c r="BA49" s="164"/>
      <c r="BB49" s="164"/>
      <c r="BC49" s="187"/>
      <c r="BD49" s="190">
        <f>6m_teljesitesi_adatok!BD49/modositott_ei!BD49</f>
        <v>1.4</v>
      </c>
      <c r="BE49" s="164"/>
      <c r="BF49" s="190"/>
      <c r="BG49" s="192">
        <f>6m_teljesitesi_adatok!BG49/modositott_ei!BG49</f>
        <v>1.4</v>
      </c>
      <c r="BH49" s="166"/>
    </row>
    <row r="50" spans="1:60" s="23" customFormat="1" ht="24" customHeight="1">
      <c r="A50" s="126"/>
      <c r="B50" s="127" t="s">
        <v>60</v>
      </c>
      <c r="C50" s="182">
        <f>6m_teljesitesi_adatok!C50/modositott_ei!C50</f>
        <v>0.8321667196945594</v>
      </c>
      <c r="D50" s="182"/>
      <c r="E50" s="182"/>
      <c r="F50" s="182">
        <f>6m_teljesitesi_adatok!F50/modositott_ei!F50</f>
        <v>0.6320827760962906</v>
      </c>
      <c r="G50" s="182"/>
      <c r="H50" s="182">
        <f>6m_teljesitesi_adatok!H50/modositott_ei!H50</f>
        <v>0.43989071038251365</v>
      </c>
      <c r="I50" s="182">
        <f>6m_teljesitesi_adatok!I50/modositott_ei!I50</f>
        <v>0.5086206896551724</v>
      </c>
      <c r="J50" s="182"/>
      <c r="K50" s="182">
        <f>6m_teljesitesi_adatok!K50/modositott_ei!K50</f>
        <v>0.3474025974025974</v>
      </c>
      <c r="L50" s="182">
        <f>6m_teljesitesi_adatok!L50/modositott_ei!L50</f>
        <v>1</v>
      </c>
      <c r="M50" s="182">
        <f>6m_teljesitesi_adatok!M50/modositott_ei!M50</f>
        <v>0.6801761517615176</v>
      </c>
      <c r="N50" s="182"/>
      <c r="O50" s="182"/>
      <c r="P50" s="182"/>
      <c r="Q50" s="182"/>
      <c r="R50" s="182">
        <f>6m_teljesitesi_adatok!R50/modositott_ei!R50</f>
        <v>0.5754154992791666</v>
      </c>
      <c r="S50" s="182"/>
      <c r="T50" s="182"/>
      <c r="U50" s="182"/>
      <c r="V50" s="182">
        <f>6m_teljesitesi_adatok!V50/modositott_ei!V50</f>
        <v>0.47242152466367715</v>
      </c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>
        <f>6m_teljesitesi_adatok!AR50/modositott_ei!AR50</f>
        <v>0.14166666666666666</v>
      </c>
      <c r="AS50" s="182">
        <f>6m_teljesitesi_adatok!AS50/modositott_ei!AS50</f>
        <v>0</v>
      </c>
      <c r="AT50" s="182"/>
      <c r="AU50" s="182"/>
      <c r="AV50" s="182">
        <f>6m_teljesitesi_adatok!AV50/modositott_ei!AV50</f>
        <v>0.6</v>
      </c>
      <c r="AW50" s="182">
        <f>6m_teljesitesi_adatok!AW50/modositott_ei!AW50</f>
        <v>0.5738396624472574</v>
      </c>
      <c r="AX50" s="182">
        <f>6m_teljesitesi_adatok!AX50/modositott_ei!AX50</f>
        <v>0.5971214047982671</v>
      </c>
      <c r="AY50" s="182">
        <f>6m_teljesitesi_adatok!AY50/modositott_ei!AY50</f>
        <v>0.47992149758454106</v>
      </c>
      <c r="AZ50" s="182">
        <f>6m_teljesitesi_adatok!AZ50/modositott_ei!AZ50</f>
        <v>0.10923694779116466</v>
      </c>
      <c r="BA50" s="182"/>
      <c r="BB50" s="182"/>
      <c r="BC50" s="182">
        <f>6m_teljesitesi_adatok!BC50/modositott_ei!BC50</f>
        <v>0.3462689448788493</v>
      </c>
      <c r="BD50" s="182">
        <f>6m_teljesitesi_adatok!BD50/modositott_ei!BD50</f>
        <v>0.589457354281383</v>
      </c>
      <c r="BE50" s="182">
        <f>6m_teljesitesi_adatok!BE50/modositott_ei!BE50</f>
        <v>0.9952380952380953</v>
      </c>
      <c r="BF50" s="182">
        <f>6m_teljesitesi_adatok!BF50/modositott_ei!BF50</f>
        <v>0.9952380952380953</v>
      </c>
      <c r="BG50" s="193">
        <f>6m_teljesitesi_adatok!BG50/modositott_ei!BG50</f>
        <v>0.5897085220959056</v>
      </c>
      <c r="BH50" s="169"/>
    </row>
    <row r="51" spans="1:59" s="5" customFormat="1" ht="24" customHeight="1">
      <c r="A51" s="22"/>
      <c r="B51" s="21"/>
      <c r="C51" s="21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19"/>
      <c r="AY51" s="20"/>
      <c r="AZ51" s="20"/>
      <c r="BA51" s="20"/>
      <c r="BB51" s="20"/>
      <c r="BC51" s="19"/>
      <c r="BD51" s="19"/>
      <c r="BE51" s="20"/>
      <c r="BF51" s="19"/>
      <c r="BG51" s="18"/>
    </row>
    <row r="52" spans="1:59" s="17" customFormat="1" ht="18.75" customHeight="1">
      <c r="A52" s="620" t="s">
        <v>59</v>
      </c>
      <c r="B52" s="620"/>
      <c r="C52" s="622" t="s">
        <v>58</v>
      </c>
      <c r="D52" s="623"/>
      <c r="E52" s="623"/>
      <c r="F52" s="623"/>
      <c r="G52" s="623"/>
      <c r="H52" s="623"/>
      <c r="I52" s="623"/>
      <c r="J52" s="623"/>
      <c r="K52" s="623"/>
      <c r="L52" s="623"/>
      <c r="M52" s="623"/>
      <c r="N52" s="623"/>
      <c r="O52" s="623"/>
      <c r="P52" s="623"/>
      <c r="Q52" s="623"/>
      <c r="R52" s="623"/>
      <c r="S52" s="623"/>
      <c r="T52" s="623"/>
      <c r="U52" s="623"/>
      <c r="V52" s="623"/>
      <c r="W52" s="623"/>
      <c r="X52" s="623"/>
      <c r="Y52" s="623"/>
      <c r="Z52" s="623"/>
      <c r="AA52" s="623"/>
      <c r="AB52" s="623"/>
      <c r="AC52" s="623" t="s">
        <v>58</v>
      </c>
      <c r="AD52" s="623"/>
      <c r="AE52" s="623"/>
      <c r="AF52" s="623"/>
      <c r="AG52" s="623"/>
      <c r="AH52" s="623"/>
      <c r="AI52" s="623"/>
      <c r="AJ52" s="623"/>
      <c r="AK52" s="623"/>
      <c r="AL52" s="623"/>
      <c r="AM52" s="623"/>
      <c r="AN52" s="623"/>
      <c r="AO52" s="623"/>
      <c r="AP52" s="623"/>
      <c r="AQ52" s="623"/>
      <c r="AR52" s="623"/>
      <c r="AS52" s="623"/>
      <c r="AT52" s="623"/>
      <c r="AU52" s="623"/>
      <c r="AV52" s="623"/>
      <c r="AW52" s="624"/>
      <c r="AX52" s="642" t="s">
        <v>57</v>
      </c>
      <c r="AY52" s="626" t="s">
        <v>56</v>
      </c>
      <c r="AZ52" s="627"/>
      <c r="BA52" s="627"/>
      <c r="BB52" s="628"/>
      <c r="BC52" s="637" t="s">
        <v>55</v>
      </c>
      <c r="BD52" s="612" t="s">
        <v>203</v>
      </c>
      <c r="BE52" s="146" t="s">
        <v>54</v>
      </c>
      <c r="BF52" s="612" t="s">
        <v>204</v>
      </c>
      <c r="BG52" s="614" t="s">
        <v>53</v>
      </c>
    </row>
    <row r="53" spans="1:59" s="14" customFormat="1" ht="48" customHeight="1">
      <c r="A53" s="620"/>
      <c r="B53" s="620"/>
      <c r="C53" s="94">
        <v>382101</v>
      </c>
      <c r="D53" s="94">
        <v>421100</v>
      </c>
      <c r="E53" s="94">
        <v>552110</v>
      </c>
      <c r="F53" s="94">
        <v>562917</v>
      </c>
      <c r="G53" s="94">
        <f>G3</f>
        <v>581400</v>
      </c>
      <c r="H53" s="94">
        <v>682001</v>
      </c>
      <c r="I53" s="94">
        <v>682002</v>
      </c>
      <c r="J53" s="94">
        <v>750000</v>
      </c>
      <c r="K53" s="94">
        <v>841112</v>
      </c>
      <c r="L53" s="94">
        <v>841116</v>
      </c>
      <c r="M53" s="94">
        <v>841126</v>
      </c>
      <c r="N53" s="94">
        <v>841133</v>
      </c>
      <c r="O53" s="94">
        <v>841191</v>
      </c>
      <c r="P53" s="94">
        <v>841402</v>
      </c>
      <c r="Q53" s="94">
        <v>841403</v>
      </c>
      <c r="R53" s="94">
        <v>841901</v>
      </c>
      <c r="S53" s="94">
        <v>841906</v>
      </c>
      <c r="T53" s="94">
        <v>841908</v>
      </c>
      <c r="U53" s="94">
        <v>854234</v>
      </c>
      <c r="V53" s="94">
        <v>869041</v>
      </c>
      <c r="W53" s="94">
        <v>882111</v>
      </c>
      <c r="X53" s="94">
        <v>882112</v>
      </c>
      <c r="Y53" s="94">
        <v>882113</v>
      </c>
      <c r="Z53" s="94">
        <v>882114</v>
      </c>
      <c r="AA53" s="94">
        <v>882115</v>
      </c>
      <c r="AB53" s="94">
        <v>882116</v>
      </c>
      <c r="AC53" s="94">
        <v>882117</v>
      </c>
      <c r="AD53" s="94">
        <v>882118</v>
      </c>
      <c r="AE53" s="94">
        <v>882119</v>
      </c>
      <c r="AF53" s="94">
        <v>882121</v>
      </c>
      <c r="AG53" s="94">
        <v>882122</v>
      </c>
      <c r="AH53" s="94">
        <v>882123</v>
      </c>
      <c r="AI53" s="94">
        <v>882124</v>
      </c>
      <c r="AJ53" s="94">
        <v>882125</v>
      </c>
      <c r="AK53" s="94">
        <v>882129</v>
      </c>
      <c r="AL53" s="94">
        <v>882202</v>
      </c>
      <c r="AM53" s="94">
        <v>882203</v>
      </c>
      <c r="AN53" s="94">
        <v>889921</v>
      </c>
      <c r="AO53" s="94">
        <v>889928</v>
      </c>
      <c r="AP53" s="94">
        <v>889969</v>
      </c>
      <c r="AQ53" s="94">
        <v>890301</v>
      </c>
      <c r="AR53" s="94">
        <v>890441</v>
      </c>
      <c r="AS53" s="94">
        <v>890442</v>
      </c>
      <c r="AT53" s="94">
        <f>AT3</f>
        <v>890443</v>
      </c>
      <c r="AU53" s="94">
        <v>910123</v>
      </c>
      <c r="AV53" s="94">
        <v>910502</v>
      </c>
      <c r="AW53" s="94">
        <v>960302</v>
      </c>
      <c r="AX53" s="638"/>
      <c r="AY53" s="95">
        <v>562912</v>
      </c>
      <c r="AZ53" s="95">
        <v>851000</v>
      </c>
      <c r="BA53" s="95">
        <v>851011</v>
      </c>
      <c r="BB53" s="95">
        <v>851012</v>
      </c>
      <c r="BC53" s="638"/>
      <c r="BD53" s="613"/>
      <c r="BE53" s="16">
        <v>841127</v>
      </c>
      <c r="BF53" s="613"/>
      <c r="BG53" s="615"/>
    </row>
    <row r="54" spans="1:59" s="14" customFormat="1" ht="47.25" customHeight="1">
      <c r="A54" s="621"/>
      <c r="B54" s="621"/>
      <c r="C54" s="96" t="s">
        <v>52</v>
      </c>
      <c r="D54" s="96" t="s">
        <v>51</v>
      </c>
      <c r="E54" s="96" t="s">
        <v>50</v>
      </c>
      <c r="F54" s="96" t="s">
        <v>49</v>
      </c>
      <c r="G54" s="96" t="str">
        <f>G4</f>
        <v>Folyóirat, időszaki kiadvány kiadása</v>
      </c>
      <c r="H54" s="96" t="s">
        <v>48</v>
      </c>
      <c r="I54" s="96" t="s">
        <v>47</v>
      </c>
      <c r="J54" s="96" t="s">
        <v>46</v>
      </c>
      <c r="K54" s="96" t="s">
        <v>45</v>
      </c>
      <c r="L54" s="96" t="s">
        <v>44</v>
      </c>
      <c r="M54" s="96" t="s">
        <v>43</v>
      </c>
      <c r="N54" s="96" t="s">
        <v>42</v>
      </c>
      <c r="O54" s="96" t="s">
        <v>41</v>
      </c>
      <c r="P54" s="96" t="s">
        <v>40</v>
      </c>
      <c r="Q54" s="96" t="s">
        <v>39</v>
      </c>
      <c r="R54" s="96" t="s">
        <v>38</v>
      </c>
      <c r="S54" s="96" t="s">
        <v>37</v>
      </c>
      <c r="T54" s="96" t="s">
        <v>36</v>
      </c>
      <c r="U54" s="96" t="s">
        <v>35</v>
      </c>
      <c r="V54" s="96" t="s">
        <v>34</v>
      </c>
      <c r="W54" s="96" t="s">
        <v>33</v>
      </c>
      <c r="X54" s="96" t="s">
        <v>32</v>
      </c>
      <c r="Y54" s="96" t="s">
        <v>31</v>
      </c>
      <c r="Z54" s="97" t="s">
        <v>30</v>
      </c>
      <c r="AA54" s="97" t="s">
        <v>29</v>
      </c>
      <c r="AB54" s="97" t="s">
        <v>28</v>
      </c>
      <c r="AC54" s="97" t="s">
        <v>27</v>
      </c>
      <c r="AD54" s="97" t="s">
        <v>26</v>
      </c>
      <c r="AE54" s="97" t="s">
        <v>25</v>
      </c>
      <c r="AF54" s="97" t="s">
        <v>24</v>
      </c>
      <c r="AG54" s="97" t="s">
        <v>23</v>
      </c>
      <c r="AH54" s="97" t="s">
        <v>22</v>
      </c>
      <c r="AI54" s="97" t="s">
        <v>21</v>
      </c>
      <c r="AJ54" s="97" t="s">
        <v>20</v>
      </c>
      <c r="AK54" s="97" t="s">
        <v>19</v>
      </c>
      <c r="AL54" s="97" t="s">
        <v>18</v>
      </c>
      <c r="AM54" s="97" t="s">
        <v>17</v>
      </c>
      <c r="AN54" s="97" t="s">
        <v>16</v>
      </c>
      <c r="AO54" s="97" t="s">
        <v>15</v>
      </c>
      <c r="AP54" s="97" t="s">
        <v>14</v>
      </c>
      <c r="AQ54" s="97" t="s">
        <v>13</v>
      </c>
      <c r="AR54" s="97" t="str">
        <f>AR4</f>
        <v>rövid időtartamú közfoglalkoz- tatás</v>
      </c>
      <c r="AS54" s="97" t="str">
        <f>AS4</f>
        <v>BPJ-re jog-ak hosszab időt-ú közfogl-a</v>
      </c>
      <c r="AT54" s="97" t="str">
        <f>AT4</f>
        <v>Egyéb közfoglal-koztatás</v>
      </c>
      <c r="AU54" s="97" t="s">
        <v>12</v>
      </c>
      <c r="AV54" s="97" t="s">
        <v>11</v>
      </c>
      <c r="AW54" s="97" t="s">
        <v>10</v>
      </c>
      <c r="AX54" s="639"/>
      <c r="AY54" s="96" t="s">
        <v>9</v>
      </c>
      <c r="AZ54" s="98" t="s">
        <v>8</v>
      </c>
      <c r="BA54" s="96" t="s">
        <v>7</v>
      </c>
      <c r="BB54" s="96" t="s">
        <v>6</v>
      </c>
      <c r="BC54" s="639"/>
      <c r="BD54" s="613"/>
      <c r="BE54" s="15" t="s">
        <v>5</v>
      </c>
      <c r="BF54" s="613"/>
      <c r="BG54" s="616"/>
    </row>
    <row r="55" spans="1:59" s="7" customFormat="1" ht="12" customHeight="1">
      <c r="A55" s="131">
        <v>1</v>
      </c>
      <c r="B55" s="108" t="s">
        <v>4</v>
      </c>
      <c r="C55" s="180">
        <f>6m_teljesitesi_adatok!C55/modositott_ei!C55</f>
        <v>0.8262432594367884</v>
      </c>
      <c r="D55" s="180"/>
      <c r="E55" s="180">
        <f>6m_teljesitesi_adatok!E55/modositott_ei!E55</f>
        <v>0.735</v>
      </c>
      <c r="F55" s="180">
        <f>6m_teljesitesi_adatok!F55/modositott_ei!F55</f>
        <v>0.5425840254166434</v>
      </c>
      <c r="G55" s="180">
        <f>6m_teljesitesi_adatok!G55/modositott_ei!G55</f>
        <v>0.10509554140127389</v>
      </c>
      <c r="H55" s="180">
        <f>6m_teljesitesi_adatok!H55/modositott_ei!H55</f>
        <v>0.10129310344827586</v>
      </c>
      <c r="I55" s="180">
        <f>6m_teljesitesi_adatok!I55/modositott_ei!I55</f>
        <v>0.5583333333333333</v>
      </c>
      <c r="J55" s="180">
        <f>6m_teljesitesi_adatok!J55/modositott_ei!J55</f>
        <v>0.935</v>
      </c>
      <c r="K55" s="180">
        <f>6m_teljesitesi_adatok!K55/modositott_ei!K55</f>
        <v>0.47876004592422505</v>
      </c>
      <c r="L55" s="180">
        <f>6m_teljesitesi_adatok!L55/modositott_ei!L55</f>
        <v>1</v>
      </c>
      <c r="M55" s="180">
        <f>6m_teljesitesi_adatok!M55/modositott_ei!M55</f>
        <v>0.540305862670934</v>
      </c>
      <c r="N55" s="180">
        <f>6m_teljesitesi_adatok!N55/modositott_ei!N55</f>
        <v>0.3175993511759935</v>
      </c>
      <c r="O55" s="180">
        <f>6m_teljesitesi_adatok!O55/modositott_ei!O55</f>
        <v>0.035</v>
      </c>
      <c r="P55" s="180">
        <f>6m_teljesitesi_adatok!P55/modositott_ei!P55</f>
        <v>0.48903345724907066</v>
      </c>
      <c r="Q55" s="180">
        <f>6m_teljesitesi_adatok!Q55/modositott_ei!Q55</f>
        <v>0.4537754114230397</v>
      </c>
      <c r="R55" s="180"/>
      <c r="S55" s="180"/>
      <c r="T55" s="180"/>
      <c r="U55" s="180">
        <f>6m_teljesitesi_adatok!U55/modositott_ei!U55</f>
        <v>0.46153846153846156</v>
      </c>
      <c r="V55" s="180">
        <f>6m_teljesitesi_adatok!V55/modositott_ei!V55</f>
        <v>0.46131528046421666</v>
      </c>
      <c r="W55" s="180">
        <f>6m_teljesitesi_adatok!W55/modositott_ei!W55</f>
        <v>0.4162652129817444</v>
      </c>
      <c r="X55" s="180">
        <f>6m_teljesitesi_adatok!X55/modositott_ei!X55</f>
        <v>0.5</v>
      </c>
      <c r="Y55" s="180">
        <f>6m_teljesitesi_adatok!Y55/modositott_ei!Y55</f>
        <v>0.5333333333333333</v>
      </c>
      <c r="Z55" s="180"/>
      <c r="AA55" s="180">
        <f>6m_teljesitesi_adatok!AA55/modositott_ei!AA55</f>
        <v>0.45170305676855893</v>
      </c>
      <c r="AB55" s="180">
        <f>6m_teljesitesi_adatok!AB55/modositott_ei!AB55</f>
        <v>0.3815489749430524</v>
      </c>
      <c r="AC55" s="180">
        <f>6m_teljesitesi_adatok!AC55/modositott_ei!AC55</f>
        <v>0.5166512488436633</v>
      </c>
      <c r="AD55" s="180"/>
      <c r="AE55" s="180"/>
      <c r="AF55" s="180"/>
      <c r="AG55" s="180">
        <f>6m_teljesitesi_adatok!AG55/modositott_ei!AG55</f>
        <v>0.244</v>
      </c>
      <c r="AH55" s="180">
        <f>6m_teljesitesi_adatok!AH55/modositott_ei!AH55</f>
        <v>0.38461538461538464</v>
      </c>
      <c r="AI55" s="180">
        <f>6m_teljesitesi_adatok!AI55/modositott_ei!AI55</f>
        <v>0.0125</v>
      </c>
      <c r="AJ55" s="180">
        <f>6m_teljesitesi_adatok!AJ55/modositott_ei!AJ55</f>
        <v>0.5555555555555556</v>
      </c>
      <c r="AK55" s="180">
        <f>6m_teljesitesi_adatok!AK55/modositott_ei!AK55</f>
        <v>0</v>
      </c>
      <c r="AL55" s="180">
        <f>6m_teljesitesi_adatok!AL55/modositott_ei!AL55</f>
        <v>0.6143497757847534</v>
      </c>
      <c r="AM55" s="180">
        <f>6m_teljesitesi_adatok!AM55/modositott_ei!AM55</f>
        <v>0.1543340380549683</v>
      </c>
      <c r="AN55" s="180">
        <f>6m_teljesitesi_adatok!AN55/modositott_ei!AN55</f>
        <v>0.5618181818181818</v>
      </c>
      <c r="AO55" s="180">
        <f>6m_teljesitesi_adatok!AO55/modositott_ei!AO55</f>
        <v>0.437832362623449</v>
      </c>
      <c r="AP55" s="180">
        <f>6m_teljesitesi_adatok!AP55/modositott_ei!AP55</f>
        <v>0.6153846153846154</v>
      </c>
      <c r="AQ55" s="180"/>
      <c r="AR55" s="180">
        <f>6m_teljesitesi_adatok!AR55/modositott_ei!AR55</f>
        <v>0.5163476198543113</v>
      </c>
      <c r="AS55" s="180">
        <f>6m_teljesitesi_adatok!AS55/modositott_ei!AS55</f>
        <v>0</v>
      </c>
      <c r="AT55" s="180">
        <f>6m_teljesitesi_adatok!AT55/modositott_ei!AT55</f>
        <v>0.30497794580970383</v>
      </c>
      <c r="AU55" s="180">
        <f>6m_teljesitesi_adatok!AU55/modositott_ei!AU55</f>
        <v>0.3274139844617092</v>
      </c>
      <c r="AV55" s="180">
        <f>6m_teljesitesi_adatok!AV55/modositott_ei!AV55</f>
        <v>0.37284419760304005</v>
      </c>
      <c r="AW55" s="180">
        <f>6m_teljesitesi_adatok!AW55/modositott_ei!AW55</f>
        <v>0.265625</v>
      </c>
      <c r="AX55" s="186">
        <f>6m_teljesitesi_adatok!AX55/modositott_ei!AX55</f>
        <v>0.5071517152552646</v>
      </c>
      <c r="AY55" s="180"/>
      <c r="AZ55" s="180">
        <f>6m_teljesitesi_adatok!AZ55/modositott_ei!AZ55</f>
        <v>0.17243319268635723</v>
      </c>
      <c r="BA55" s="180">
        <f>6m_teljesitesi_adatok!BA55/modositott_ei!BA55</f>
        <v>0.47531637892693973</v>
      </c>
      <c r="BB55" s="180">
        <f>6m_teljesitesi_adatok!BB55/modositott_ei!BB55</f>
        <v>0.488441461595824</v>
      </c>
      <c r="BC55" s="204">
        <f>6m_teljesitesi_adatok!BC55/modositott_ei!BC55</f>
        <v>0.45583311872263715</v>
      </c>
      <c r="BD55" s="180">
        <f>6m_teljesitesi_adatok!BD55/modositott_ei!BD55</f>
        <v>0.49800911709668644</v>
      </c>
      <c r="BE55" s="180">
        <f>6m_teljesitesi_adatok!BE55/modositott_ei!BE55</f>
        <v>0.3779264214046823</v>
      </c>
      <c r="BF55" s="180">
        <f>6m_teljesitesi_adatok!BF55/modositott_ei!BF55</f>
        <v>0.3779264214046823</v>
      </c>
      <c r="BG55" s="194">
        <f>6m_teljesitesi_adatok!BG55/modositott_ei!BG55</f>
        <v>0.49789156626506026</v>
      </c>
    </row>
    <row r="56" spans="1:59" s="7" customFormat="1" ht="12.75">
      <c r="A56" s="132"/>
      <c r="B56" s="133" t="s">
        <v>174</v>
      </c>
      <c r="C56" s="164"/>
      <c r="D56" s="164"/>
      <c r="E56" s="164"/>
      <c r="F56" s="164">
        <f>6m_teljesitesi_adatok!F56/modositott_ei!F56</f>
        <v>0.4501331754957088</v>
      </c>
      <c r="G56" s="164"/>
      <c r="H56" s="164"/>
      <c r="I56" s="164"/>
      <c r="J56" s="164"/>
      <c r="K56" s="164">
        <f>6m_teljesitesi_adatok!K56/modositott_ei!K56</f>
        <v>0.510314875135722</v>
      </c>
      <c r="L56" s="164">
        <f>6m_teljesitesi_adatok!L56/modositott_ei!L56</f>
        <v>1</v>
      </c>
      <c r="M56" s="164">
        <f>6m_teljesitesi_adatok!M56/modositott_ei!M56</f>
        <v>0.4507316750900142</v>
      </c>
      <c r="N56" s="164">
        <f>6m_teljesitesi_adatok!N56/modositott_ei!N56</f>
        <v>0.3684946838276441</v>
      </c>
      <c r="O56" s="164"/>
      <c r="P56" s="164"/>
      <c r="Q56" s="164">
        <f>6m_teljesitesi_adatok!Q56/modositott_ei!Q56</f>
        <v>0.5042219541616405</v>
      </c>
      <c r="R56" s="164"/>
      <c r="S56" s="164"/>
      <c r="T56" s="164"/>
      <c r="U56" s="164"/>
      <c r="V56" s="164">
        <f>6m_teljesitesi_adatok!V56/modositott_ei!V56</f>
        <v>0.4892316647264261</v>
      </c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>
        <f>6m_teljesitesi_adatok!AO56/modositott_ei!AO56</f>
        <v>0.508390918065153</v>
      </c>
      <c r="AP56" s="164"/>
      <c r="AQ56" s="164"/>
      <c r="AR56" s="164">
        <f>6m_teljesitesi_adatok!AR56/modositott_ei!AR56</f>
        <v>0.5398431048720066</v>
      </c>
      <c r="AS56" s="164">
        <f>6m_teljesitesi_adatok!AS56/modositott_ei!AS56</f>
        <v>0</v>
      </c>
      <c r="AT56" s="164">
        <f>6m_teljesitesi_adatok!AT56/modositott_ei!AT56</f>
        <v>0.3504</v>
      </c>
      <c r="AU56" s="164">
        <f>6m_teljesitesi_adatok!AU56/modositott_ei!AU56</f>
        <v>0.25075528700906347</v>
      </c>
      <c r="AV56" s="164">
        <f>6m_teljesitesi_adatok!AV56/modositott_ei!AV56</f>
        <v>0.3883607029674445</v>
      </c>
      <c r="AW56" s="164"/>
      <c r="AX56" s="187">
        <f>6m_teljesitesi_adatok!AX56/modositott_ei!AX56</f>
        <v>0.4516872223601799</v>
      </c>
      <c r="AY56" s="164"/>
      <c r="AZ56" s="164">
        <f>6m_teljesitesi_adatok!AZ56/modositott_ei!AZ56</f>
        <v>0.13167259786476868</v>
      </c>
      <c r="BA56" s="164">
        <f>6m_teljesitesi_adatok!BA56/modositott_ei!BA56</f>
        <v>0.495629522431259</v>
      </c>
      <c r="BB56" s="164">
        <f>6m_teljesitesi_adatok!BB56/modositott_ei!BB56</f>
        <v>0.489120151371807</v>
      </c>
      <c r="BC56" s="187">
        <f>6m_teljesitesi_adatok!BC56/modositott_ei!BC56</f>
        <v>0.47639325065204663</v>
      </c>
      <c r="BD56" s="190">
        <f>6m_teljesitesi_adatok!BD56/modositott_ei!BD56</f>
        <v>0.46012175177176085</v>
      </c>
      <c r="BE56" s="164"/>
      <c r="BF56" s="190"/>
      <c r="BG56" s="205">
        <f>6m_teljesitesi_adatok!BG56/modositott_ei!BG56</f>
        <v>0.46012175177176085</v>
      </c>
    </row>
    <row r="57" spans="1:59" s="7" customFormat="1" ht="12.75">
      <c r="A57" s="134"/>
      <c r="B57" s="133" t="s">
        <v>175</v>
      </c>
      <c r="C57" s="164"/>
      <c r="D57" s="164"/>
      <c r="E57" s="164"/>
      <c r="F57" s="164">
        <f>6m_teljesitesi_adatok!F57/modositott_ei!F57</f>
        <v>0.4846335697399527</v>
      </c>
      <c r="G57" s="164"/>
      <c r="H57" s="164"/>
      <c r="I57" s="164"/>
      <c r="J57" s="164"/>
      <c r="K57" s="164">
        <f>6m_teljesitesi_adatok!K57/modositott_ei!K57</f>
        <v>0.5066127847171198</v>
      </c>
      <c r="L57" s="164">
        <f>6m_teljesitesi_adatok!L57/modositott_ei!L57</f>
        <v>1</v>
      </c>
      <c r="M57" s="164">
        <f>6m_teljesitesi_adatok!M57/modositott_ei!M57</f>
        <v>0.464005967922417</v>
      </c>
      <c r="N57" s="164">
        <f>6m_teljesitesi_adatok!N57/modositott_ei!N57</f>
        <v>0.3743427970557308</v>
      </c>
      <c r="O57" s="164"/>
      <c r="P57" s="164"/>
      <c r="Q57" s="164">
        <f>6m_teljesitesi_adatok!Q57/modositott_ei!Q57</f>
        <v>0.6766743648960739</v>
      </c>
      <c r="R57" s="164"/>
      <c r="S57" s="164"/>
      <c r="T57" s="164"/>
      <c r="U57" s="164"/>
      <c r="V57" s="164">
        <f>6m_teljesitesi_adatok!V57/modositott_ei!V57</f>
        <v>0.49557522123893805</v>
      </c>
      <c r="W57" s="164"/>
      <c r="X57" s="164"/>
      <c r="Y57" s="164"/>
      <c r="Z57" s="164"/>
      <c r="AA57" s="164">
        <f>6m_teljesitesi_adatok!AA57/modositott_ei!AA57</f>
        <v>0.434115523465704</v>
      </c>
      <c r="AB57" s="164">
        <f>6m_teljesitesi_adatok!AB57/modositott_ei!AB57</f>
        <v>0.38235294117647056</v>
      </c>
      <c r="AC57" s="164"/>
      <c r="AD57" s="164"/>
      <c r="AE57" s="164"/>
      <c r="AF57" s="164"/>
      <c r="AG57" s="164"/>
      <c r="AH57" s="164"/>
      <c r="AI57" s="164"/>
      <c r="AJ57" s="164"/>
      <c r="AK57" s="164"/>
      <c r="AL57" s="164"/>
      <c r="AM57" s="164"/>
      <c r="AN57" s="164"/>
      <c r="AO57" s="164">
        <f>6m_teljesitesi_adatok!AO57/modositott_ei!AO57</f>
        <v>0.5103189493433395</v>
      </c>
      <c r="AP57" s="164"/>
      <c r="AQ57" s="164"/>
      <c r="AR57" s="164">
        <f>6m_teljesitesi_adatok!AR57/modositott_ei!AR57</f>
        <v>0.408876298394712</v>
      </c>
      <c r="AS57" s="164">
        <f>6m_teljesitesi_adatok!AS57/modositott_ei!AS57</f>
        <v>0</v>
      </c>
      <c r="AT57" s="164">
        <f>6m_teljesitesi_adatok!AT57/modositott_ei!AT57</f>
        <v>0.13649851632047477</v>
      </c>
      <c r="AU57" s="164">
        <f>6m_teljesitesi_adatok!AU57/modositott_ei!AU57</f>
        <v>0.26436781609195403</v>
      </c>
      <c r="AV57" s="164">
        <f>6m_teljesitesi_adatok!AV57/modositott_ei!AV57</f>
        <v>0.389010989010989</v>
      </c>
      <c r="AW57" s="164"/>
      <c r="AX57" s="187">
        <f>6m_teljesitesi_adatok!AX57/modositott_ei!AX57</f>
        <v>0.4521601111055999</v>
      </c>
      <c r="AY57" s="164"/>
      <c r="AZ57" s="164">
        <f>6m_teljesitesi_adatok!AZ57/modositott_ei!AZ57</f>
        <v>0.15283842794759825</v>
      </c>
      <c r="BA57" s="164">
        <f>6m_teljesitesi_adatok!BA57/modositott_ei!BA57</f>
        <v>0.4803364879074658</v>
      </c>
      <c r="BB57" s="164">
        <f>6m_teljesitesi_adatok!BB57/modositott_ei!BB57</f>
        <v>0.4946236559139785</v>
      </c>
      <c r="BC57" s="187">
        <f>6m_teljesitesi_adatok!BC57/modositott_ei!BC57</f>
        <v>0.46608763540548453</v>
      </c>
      <c r="BD57" s="190">
        <f>6m_teljesitesi_adatok!BD57/modositott_ei!BD57</f>
        <v>0.4568534596158906</v>
      </c>
      <c r="BE57" s="164">
        <f>6m_teljesitesi_adatok!BE57/modositott_ei!BE57</f>
        <v>0</v>
      </c>
      <c r="BF57" s="190">
        <f>6m_teljesitesi_adatok!BF57/modositott_ei!BF57</f>
        <v>0</v>
      </c>
      <c r="BG57" s="205">
        <f>6m_teljesitesi_adatok!BG57/modositott_ei!BG57</f>
        <v>0.45668825405174396</v>
      </c>
    </row>
    <row r="58" spans="1:59" s="7" customFormat="1" ht="12.75">
      <c r="A58" s="134"/>
      <c r="B58" s="133" t="s">
        <v>176</v>
      </c>
      <c r="C58" s="164">
        <f>6m_teljesitesi_adatok!C58/modositott_ei!C58</f>
        <v>0.8262432594367884</v>
      </c>
      <c r="D58" s="164"/>
      <c r="E58" s="164">
        <f>6m_teljesitesi_adatok!E58/modositott_ei!E58</f>
        <v>0.735</v>
      </c>
      <c r="F58" s="164">
        <f>6m_teljesitesi_adatok!F58/modositott_ei!F58</f>
        <v>0.5893049510923428</v>
      </c>
      <c r="G58" s="164">
        <f>6m_teljesitesi_adatok!G58/modositott_ei!G58</f>
        <v>0.10509554140127389</v>
      </c>
      <c r="H58" s="164">
        <f>6m_teljesitesi_adatok!H58/modositott_ei!H58</f>
        <v>0.10129310344827586</v>
      </c>
      <c r="I58" s="164">
        <f>6m_teljesitesi_adatok!I58/modositott_ei!I58</f>
        <v>0.5583333333333333</v>
      </c>
      <c r="J58" s="164">
        <f>6m_teljesitesi_adatok!J58/modositott_ei!J58</f>
        <v>0.935</v>
      </c>
      <c r="K58" s="164">
        <f>6m_teljesitesi_adatok!K58/modositott_ei!K58</f>
        <v>0.2546583850931677</v>
      </c>
      <c r="L58" s="164">
        <f>6m_teljesitesi_adatok!L58/modositott_ei!L58</f>
        <v>1</v>
      </c>
      <c r="M58" s="164">
        <f>6m_teljesitesi_adatok!M58/modositott_ei!M58</f>
        <v>0.6885963424150918</v>
      </c>
      <c r="N58" s="164">
        <f>6m_teljesitesi_adatok!N58/modositott_ei!N58</f>
        <v>0.17378048780487804</v>
      </c>
      <c r="O58" s="164">
        <f>6m_teljesitesi_adatok!O58/modositott_ei!O58</f>
        <v>0.035</v>
      </c>
      <c r="P58" s="164">
        <f>6m_teljesitesi_adatok!P58/modositott_ei!P58</f>
        <v>0.48903345724907066</v>
      </c>
      <c r="Q58" s="164">
        <f>6m_teljesitesi_adatok!Q58/modositott_ei!Q58</f>
        <v>0.36550710436060757</v>
      </c>
      <c r="R58" s="164"/>
      <c r="S58" s="164"/>
      <c r="T58" s="164"/>
      <c r="U58" s="164"/>
      <c r="V58" s="164">
        <f>6m_teljesitesi_adatok!V58/modositott_ei!V58</f>
        <v>0.39324034334763946</v>
      </c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>
        <f>6m_teljesitesi_adatok!AO58/modositott_ei!AO58</f>
        <v>0.30719424460431655</v>
      </c>
      <c r="AP58" s="164"/>
      <c r="AQ58" s="164"/>
      <c r="AR58" s="164"/>
      <c r="AS58" s="164"/>
      <c r="AT58" s="164"/>
      <c r="AU58" s="164">
        <f>6m_teljesitesi_adatok!AU58/modositott_ei!AU58</f>
        <v>0.391304347826087</v>
      </c>
      <c r="AV58" s="164">
        <f>6m_teljesitesi_adatok!AV58/modositott_ei!AV58</f>
        <v>0.3449817147501016</v>
      </c>
      <c r="AW58" s="164">
        <f>6m_teljesitesi_adatok!AW58/modositott_ei!AW58</f>
        <v>0.265625</v>
      </c>
      <c r="AX58" s="187">
        <f>6m_teljesitesi_adatok!AX58/modositott_ei!AX58</f>
        <v>0.6182353728745481</v>
      </c>
      <c r="AY58" s="164"/>
      <c r="AZ58" s="164">
        <f>6m_teljesitesi_adatok!AZ58/modositott_ei!AZ58</f>
        <v>0.2513274336283186</v>
      </c>
      <c r="BA58" s="164">
        <f>6m_teljesitesi_adatok!BA58/modositott_ei!BA58</f>
        <v>0.3366629670736219</v>
      </c>
      <c r="BB58" s="164">
        <f>6m_teljesitesi_adatok!BB58/modositott_ei!BB58</f>
        <v>0</v>
      </c>
      <c r="BC58" s="187">
        <f>6m_teljesitesi_adatok!BC58/modositott_ei!BC58</f>
        <v>0.3216633542271824</v>
      </c>
      <c r="BD58" s="190">
        <f>6m_teljesitesi_adatok!BD58/modositott_ei!BD58</f>
        <v>0.6018755903386858</v>
      </c>
      <c r="BE58" s="164">
        <f>6m_teljesitesi_adatok!BE58/modositott_ei!BE58</f>
        <v>0.38380281690140844</v>
      </c>
      <c r="BF58" s="190">
        <f>6m_teljesitesi_adatok!BF58/modositott_ei!BF58</f>
        <v>0.38380281690140844</v>
      </c>
      <c r="BG58" s="205">
        <f>6m_teljesitesi_adatok!BG58/modositott_ei!BG58</f>
        <v>0.6013545347467609</v>
      </c>
    </row>
    <row r="59" spans="1:59" s="7" customFormat="1" ht="12.75">
      <c r="A59" s="134"/>
      <c r="B59" s="133" t="s">
        <v>3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>
        <f>6m_teljesitesi_adatok!M59/modositott_ei!M59</f>
        <v>0.45042492917847027</v>
      </c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87">
        <f>6m_teljesitesi_adatok!AX59/modositott_ei!AX59</f>
        <v>0.45042492917847027</v>
      </c>
      <c r="AY59" s="164"/>
      <c r="AZ59" s="164"/>
      <c r="BA59" s="164"/>
      <c r="BB59" s="164"/>
      <c r="BC59" s="187"/>
      <c r="BD59" s="190">
        <f>6m_teljesitesi_adatok!BD59/modositott_ei!BD59</f>
        <v>0.45042492917847027</v>
      </c>
      <c r="BE59" s="164"/>
      <c r="BF59" s="190"/>
      <c r="BG59" s="205">
        <f>6m_teljesitesi_adatok!BG59/modositott_ei!BG59</f>
        <v>0.45042492917847027</v>
      </c>
    </row>
    <row r="60" spans="1:59" s="7" customFormat="1" ht="12.75">
      <c r="A60" s="134"/>
      <c r="B60" s="133" t="s">
        <v>177</v>
      </c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>
        <f>6m_teljesitesi_adatok!W60/modositott_ei!W60</f>
        <v>0.4162652129817444</v>
      </c>
      <c r="X60" s="164">
        <f>6m_teljesitesi_adatok!X60/modositott_ei!X60</f>
        <v>0.5</v>
      </c>
      <c r="Y60" s="164">
        <f>6m_teljesitesi_adatok!Y60/modositott_ei!Y60</f>
        <v>0.5333333333333333</v>
      </c>
      <c r="Z60" s="164"/>
      <c r="AA60" s="164">
        <f>6m_teljesitesi_adatok!AA60/modositott_ei!AA60</f>
        <v>0.45592376001732726</v>
      </c>
      <c r="AB60" s="164">
        <f>6m_teljesitesi_adatok!AB60/modositott_ei!AB60</f>
        <v>0.3813559322033898</v>
      </c>
      <c r="AC60" s="164">
        <f>6m_teljesitesi_adatok!AC60/modositott_ei!AC60</f>
        <v>0.5166512488436633</v>
      </c>
      <c r="AD60" s="164"/>
      <c r="AE60" s="164"/>
      <c r="AF60" s="164"/>
      <c r="AG60" s="164">
        <f>6m_teljesitesi_adatok!AG60/modositott_ei!AG60</f>
        <v>0.244</v>
      </c>
      <c r="AH60" s="164">
        <f>6m_teljesitesi_adatok!AH60/modositott_ei!AH60</f>
        <v>0.38461538461538464</v>
      </c>
      <c r="AI60" s="164">
        <f>6m_teljesitesi_adatok!AI60/modositott_ei!AI60</f>
        <v>0.0125</v>
      </c>
      <c r="AJ60" s="164">
        <f>6m_teljesitesi_adatok!AJ60/modositott_ei!AJ60</f>
        <v>0.5555555555555556</v>
      </c>
      <c r="AK60" s="164">
        <f>6m_teljesitesi_adatok!AK60/modositott_ei!AK60</f>
        <v>0</v>
      </c>
      <c r="AL60" s="164">
        <f>6m_teljesitesi_adatok!AL60/modositott_ei!AL60</f>
        <v>0.6143497757847534</v>
      </c>
      <c r="AM60" s="164">
        <f>6m_teljesitesi_adatok!AM60/modositott_ei!AM60</f>
        <v>0.1543340380549683</v>
      </c>
      <c r="AN60" s="164">
        <f>6m_teljesitesi_adatok!AN60/modositott_ei!AN60</f>
        <v>0.6891168599464763</v>
      </c>
      <c r="AO60" s="164"/>
      <c r="AP60" s="164">
        <f>6m_teljesitesi_adatok!AP60/modositott_ei!AP60</f>
        <v>0.6153846153846154</v>
      </c>
      <c r="AQ60" s="164"/>
      <c r="AR60" s="164"/>
      <c r="AS60" s="164"/>
      <c r="AT60" s="164"/>
      <c r="AU60" s="164"/>
      <c r="AV60" s="164"/>
      <c r="AW60" s="164"/>
      <c r="AX60" s="187">
        <f>6m_teljesitesi_adatok!AX60/modositott_ei!AX60</f>
        <v>0.44548802946593</v>
      </c>
      <c r="AY60" s="164"/>
      <c r="AZ60" s="164"/>
      <c r="BA60" s="164"/>
      <c r="BB60" s="164"/>
      <c r="BC60" s="187"/>
      <c r="BD60" s="190">
        <f>6m_teljesitesi_adatok!BD60/modositott_ei!BD60</f>
        <v>0.44548802946593</v>
      </c>
      <c r="BE60" s="164"/>
      <c r="BF60" s="190"/>
      <c r="BG60" s="205">
        <f>6m_teljesitesi_adatok!BG60/modositott_ei!BG60</f>
        <v>0.44548802946593</v>
      </c>
    </row>
    <row r="61" spans="1:59" s="12" customFormat="1" ht="12.75">
      <c r="A61" s="135"/>
      <c r="B61" s="136" t="s">
        <v>178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>
        <f>6m_teljesitesi_adatok!M61/modositott_ei!M61</f>
        <v>0.11460462191479327</v>
      </c>
      <c r="N61" s="164"/>
      <c r="O61" s="164"/>
      <c r="P61" s="164"/>
      <c r="Q61" s="164"/>
      <c r="R61" s="164"/>
      <c r="S61" s="164"/>
      <c r="T61" s="164"/>
      <c r="U61" s="164">
        <f>6m_teljesitesi_adatok!U61/modositott_ei!U61</f>
        <v>0.46153846153846156</v>
      </c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4"/>
      <c r="AL61" s="164"/>
      <c r="AM61" s="164"/>
      <c r="AN61" s="164"/>
      <c r="AO61" s="164"/>
      <c r="AP61" s="164"/>
      <c r="AQ61" s="164"/>
      <c r="AR61" s="164"/>
      <c r="AS61" s="164"/>
      <c r="AT61" s="164"/>
      <c r="AU61" s="164"/>
      <c r="AV61" s="164"/>
      <c r="AW61" s="164"/>
      <c r="AX61" s="187">
        <f>6m_teljesitesi_adatok!AX61/modositott_ei!AX61</f>
        <v>0.11452245320707258</v>
      </c>
      <c r="AY61" s="164"/>
      <c r="AZ61" s="164"/>
      <c r="BA61" s="164"/>
      <c r="BB61" s="164"/>
      <c r="BC61" s="187"/>
      <c r="BD61" s="190">
        <f>6m_teljesitesi_adatok!BD61/modositott_ei!BD61</f>
        <v>0.11452245320707258</v>
      </c>
      <c r="BE61" s="164">
        <f>6m_teljesitesi_adatok!BE61/modositott_ei!BE61</f>
        <v>1</v>
      </c>
      <c r="BF61" s="190">
        <f>6m_teljesitesi_adatok!BF61/modositott_ei!BF61</f>
        <v>1</v>
      </c>
      <c r="BG61" s="205">
        <f>6m_teljesitesi_adatok!BG61/modositott_ei!BG61</f>
        <v>0.1147844094371718</v>
      </c>
    </row>
    <row r="62" spans="1:59" s="12" customFormat="1" ht="12" customHeight="1">
      <c r="A62" s="137">
        <v>2</v>
      </c>
      <c r="B62" s="108" t="s">
        <v>2</v>
      </c>
      <c r="C62" s="180"/>
      <c r="D62" s="180"/>
      <c r="E62" s="180"/>
      <c r="F62" s="180">
        <f>6m_teljesitesi_adatok!F62/modositott_ei!F62</f>
        <v>1</v>
      </c>
      <c r="G62" s="180"/>
      <c r="H62" s="180"/>
      <c r="I62" s="180"/>
      <c r="J62" s="180"/>
      <c r="K62" s="180"/>
      <c r="L62" s="180"/>
      <c r="M62" s="180">
        <f>6m_teljesitesi_adatok!M62/modositott_ei!M62</f>
        <v>0.8657729667730026</v>
      </c>
      <c r="N62" s="180"/>
      <c r="O62" s="180"/>
      <c r="P62" s="180">
        <f>6m_teljesitesi_adatok!P62/modositott_ei!P62</f>
        <v>0</v>
      </c>
      <c r="Q62" s="180">
        <f>6m_teljesitesi_adatok!Q62/modositott_ei!Q62</f>
        <v>0.8910256410256411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  <c r="AE62" s="180"/>
      <c r="AF62" s="180"/>
      <c r="AG62" s="180"/>
      <c r="AH62" s="180"/>
      <c r="AI62" s="180"/>
      <c r="AJ62" s="180"/>
      <c r="AK62" s="180"/>
      <c r="AL62" s="180"/>
      <c r="AM62" s="180"/>
      <c r="AN62" s="180"/>
      <c r="AO62" s="180"/>
      <c r="AP62" s="180"/>
      <c r="AQ62" s="180"/>
      <c r="AR62" s="180"/>
      <c r="AS62" s="180"/>
      <c r="AT62" s="180"/>
      <c r="AU62" s="180"/>
      <c r="AV62" s="180">
        <f>6m_teljesitesi_adatok!AV62/modositott_ei!AV62</f>
        <v>1.01</v>
      </c>
      <c r="AW62" s="180">
        <f>6m_teljesitesi_adatok!AW62/modositott_ei!AW62</f>
        <v>0</v>
      </c>
      <c r="AX62" s="186">
        <f>6m_teljesitesi_adatok!AX62/modositott_ei!AX62</f>
        <v>0.8432543334083117</v>
      </c>
      <c r="AY62" s="180"/>
      <c r="AZ62" s="180"/>
      <c r="BA62" s="180"/>
      <c r="BB62" s="180"/>
      <c r="BC62" s="204"/>
      <c r="BD62" s="180">
        <f>6m_teljesitesi_adatok!BD62/modositott_ei!BD62</f>
        <v>0.8432543334083117</v>
      </c>
      <c r="BE62" s="180"/>
      <c r="BF62" s="180"/>
      <c r="BG62" s="194">
        <f>6m_teljesitesi_adatok!BG62/modositott_ei!BG62</f>
        <v>0.8432543334083117</v>
      </c>
    </row>
    <row r="63" spans="1:59" s="7" customFormat="1" ht="12.75">
      <c r="A63" s="132"/>
      <c r="B63" s="133" t="s">
        <v>179</v>
      </c>
      <c r="C63" s="164"/>
      <c r="D63" s="164"/>
      <c r="E63" s="164"/>
      <c r="F63" s="164">
        <f>6m_teljesitesi_adatok!F63/modositott_ei!F63</f>
        <v>1</v>
      </c>
      <c r="G63" s="164"/>
      <c r="H63" s="164"/>
      <c r="I63" s="164"/>
      <c r="J63" s="164"/>
      <c r="K63" s="164"/>
      <c r="L63" s="164"/>
      <c r="M63" s="164">
        <f>6m_teljesitesi_adatok!M63/modositott_ei!M63</f>
        <v>0.914543057996485</v>
      </c>
      <c r="N63" s="164"/>
      <c r="O63" s="164"/>
      <c r="P63" s="164">
        <f>6m_teljesitesi_adatok!P63/modositott_ei!P63</f>
        <v>0</v>
      </c>
      <c r="Q63" s="164">
        <f>6m_teljesitesi_adatok!Q63/modositott_ei!Q63</f>
        <v>0.354</v>
      </c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64"/>
      <c r="AT63" s="164"/>
      <c r="AU63" s="164"/>
      <c r="AV63" s="164">
        <f>6m_teljesitesi_adatok!AV63/modositott_ei!AV63</f>
        <v>1.01</v>
      </c>
      <c r="AW63" s="164"/>
      <c r="AX63" s="187">
        <f>6m_teljesitesi_adatok!AX63/modositott_ei!AX63</f>
        <v>0.8893363524459371</v>
      </c>
      <c r="AY63" s="164"/>
      <c r="AZ63" s="164"/>
      <c r="BA63" s="164"/>
      <c r="BB63" s="164"/>
      <c r="BC63" s="187"/>
      <c r="BD63" s="190">
        <f>6m_teljesitesi_adatok!BD63/modositott_ei!BD63</f>
        <v>0.8893363524459371</v>
      </c>
      <c r="BE63" s="164"/>
      <c r="BF63" s="190"/>
      <c r="BG63" s="205">
        <f>6m_teljesitesi_adatok!BG63/modositott_ei!BG63</f>
        <v>0.8893363524459371</v>
      </c>
    </row>
    <row r="64" spans="1:59" s="7" customFormat="1" ht="12.75">
      <c r="A64" s="134"/>
      <c r="B64" s="133" t="s">
        <v>180</v>
      </c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>
        <f>6m_teljesitesi_adatok!M64/modositott_ei!M64</f>
        <v>0.5652806048269846</v>
      </c>
      <c r="N64" s="164"/>
      <c r="O64" s="164"/>
      <c r="P64" s="164"/>
      <c r="Q64" s="164">
        <f>6m_teljesitesi_adatok!Q64/modositott_ei!Q64</f>
        <v>1</v>
      </c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64"/>
      <c r="AT64" s="164"/>
      <c r="AU64" s="164"/>
      <c r="AV64" s="164"/>
      <c r="AW64" s="164"/>
      <c r="AX64" s="187">
        <f>6m_teljesitesi_adatok!AX64/modositott_ei!AX64</f>
        <v>0.6389056527861597</v>
      </c>
      <c r="AY64" s="164"/>
      <c r="AZ64" s="164"/>
      <c r="BA64" s="164"/>
      <c r="BB64" s="164"/>
      <c r="BC64" s="187"/>
      <c r="BD64" s="190">
        <f>6m_teljesitesi_adatok!BD64/modositott_ei!BD64</f>
        <v>0.6389056527861597</v>
      </c>
      <c r="BE64" s="164"/>
      <c r="BF64" s="190"/>
      <c r="BG64" s="205">
        <f>6m_teljesitesi_adatok!BG64/modositott_ei!BG64</f>
        <v>0.6389056527861597</v>
      </c>
    </row>
    <row r="65" spans="1:59" s="7" customFormat="1" ht="12.75">
      <c r="A65" s="134"/>
      <c r="B65" s="133" t="s">
        <v>181</v>
      </c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>
        <f>6m_teljesitesi_adatok!M65/modositott_ei!M65</f>
        <v>0.06180972679713234</v>
      </c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  <c r="AI65" s="164"/>
      <c r="AJ65" s="164"/>
      <c r="AK65" s="164"/>
      <c r="AL65" s="164"/>
      <c r="AM65" s="164"/>
      <c r="AN65" s="164"/>
      <c r="AO65" s="164"/>
      <c r="AP65" s="164"/>
      <c r="AQ65" s="164"/>
      <c r="AR65" s="164"/>
      <c r="AS65" s="164"/>
      <c r="AT65" s="164"/>
      <c r="AU65" s="164"/>
      <c r="AV65" s="164"/>
      <c r="AW65" s="164"/>
      <c r="AX65" s="187">
        <f>6m_teljesitesi_adatok!AX65/modositott_ei!AX65</f>
        <v>0.06180972679713234</v>
      </c>
      <c r="AY65" s="164"/>
      <c r="AZ65" s="164"/>
      <c r="BA65" s="164"/>
      <c r="BB65" s="164"/>
      <c r="BC65" s="187"/>
      <c r="BD65" s="190">
        <f>6m_teljesitesi_adatok!BD65/modositott_ei!BD65</f>
        <v>0.06180972679713234</v>
      </c>
      <c r="BE65" s="164"/>
      <c r="BF65" s="190"/>
      <c r="BG65" s="205">
        <f>6m_teljesitesi_adatok!BG65/modositott_ei!BG65</f>
        <v>0.06180972679713234</v>
      </c>
    </row>
    <row r="66" spans="1:59" s="7" customFormat="1" ht="12" customHeight="1">
      <c r="A66" s="131">
        <v>3</v>
      </c>
      <c r="B66" s="108" t="s">
        <v>197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80"/>
      <c r="AR66" s="180"/>
      <c r="AS66" s="180"/>
      <c r="AT66" s="180"/>
      <c r="AU66" s="180"/>
      <c r="AV66" s="180"/>
      <c r="AW66" s="180"/>
      <c r="AX66" s="186">
        <f>6m_teljesitesi_adatok!AX66/modositott_ei!AX66</f>
        <v>0</v>
      </c>
      <c r="AY66" s="180"/>
      <c r="AZ66" s="180"/>
      <c r="BA66" s="180"/>
      <c r="BB66" s="180"/>
      <c r="BC66" s="204"/>
      <c r="BD66" s="180">
        <f>6m_teljesitesi_adatok!BD66/modositott_ei!BD66</f>
        <v>0</v>
      </c>
      <c r="BE66" s="180"/>
      <c r="BF66" s="180"/>
      <c r="BG66" s="194">
        <f>6m_teljesitesi_adatok!BG66/modositott_ei!BG66</f>
        <v>0</v>
      </c>
    </row>
    <row r="67" spans="1:59" s="7" customFormat="1" ht="12.75">
      <c r="A67" s="132"/>
      <c r="B67" s="133" t="s">
        <v>183</v>
      </c>
      <c r="C67" s="164"/>
      <c r="D67" s="164"/>
      <c r="E67" s="164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164"/>
      <c r="S67" s="164"/>
      <c r="T67" s="164"/>
      <c r="U67" s="164"/>
      <c r="V67" s="164"/>
      <c r="W67" s="164"/>
      <c r="X67" s="164"/>
      <c r="Y67" s="164"/>
      <c r="Z67" s="164"/>
      <c r="AA67" s="164"/>
      <c r="AB67" s="164"/>
      <c r="AC67" s="164"/>
      <c r="AD67" s="164"/>
      <c r="AE67" s="164"/>
      <c r="AF67" s="164"/>
      <c r="AG67" s="164"/>
      <c r="AH67" s="164"/>
      <c r="AI67" s="164"/>
      <c r="AJ67" s="164"/>
      <c r="AK67" s="164"/>
      <c r="AL67" s="164"/>
      <c r="AM67" s="164"/>
      <c r="AN67" s="164"/>
      <c r="AO67" s="164"/>
      <c r="AP67" s="164"/>
      <c r="AQ67" s="164"/>
      <c r="AR67" s="164"/>
      <c r="AS67" s="164"/>
      <c r="AT67" s="164"/>
      <c r="AU67" s="164"/>
      <c r="AV67" s="164"/>
      <c r="AW67" s="164"/>
      <c r="AX67" s="187">
        <f>6m_teljesitesi_adatok!AX67/modositott_ei!AX67</f>
        <v>0</v>
      </c>
      <c r="AY67" s="164"/>
      <c r="AZ67" s="164"/>
      <c r="BA67" s="164"/>
      <c r="BB67" s="164"/>
      <c r="BC67" s="187"/>
      <c r="BD67" s="190">
        <f>6m_teljesitesi_adatok!BD67/modositott_ei!BD67</f>
        <v>0</v>
      </c>
      <c r="BE67" s="164"/>
      <c r="BF67" s="190"/>
      <c r="BG67" s="205">
        <f>6m_teljesitesi_adatok!BG67/modositott_ei!BG67</f>
        <v>0</v>
      </c>
    </row>
    <row r="68" spans="1:59" s="7" customFormat="1" ht="12.75">
      <c r="A68" s="134"/>
      <c r="B68" s="133" t="s">
        <v>184</v>
      </c>
      <c r="C68" s="164"/>
      <c r="D68" s="164"/>
      <c r="E68" s="164"/>
      <c r="F68" s="164"/>
      <c r="G68" s="164"/>
      <c r="H68" s="164"/>
      <c r="I68" s="164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164"/>
      <c r="X68" s="164"/>
      <c r="Y68" s="164"/>
      <c r="Z68" s="164"/>
      <c r="AA68" s="164"/>
      <c r="AB68" s="164"/>
      <c r="AC68" s="164"/>
      <c r="AD68" s="164"/>
      <c r="AE68" s="164"/>
      <c r="AF68" s="164"/>
      <c r="AG68" s="164"/>
      <c r="AH68" s="164"/>
      <c r="AI68" s="164"/>
      <c r="AJ68" s="164"/>
      <c r="AK68" s="164"/>
      <c r="AL68" s="164"/>
      <c r="AM68" s="164"/>
      <c r="AN68" s="164"/>
      <c r="AO68" s="164"/>
      <c r="AP68" s="164"/>
      <c r="AQ68" s="164"/>
      <c r="AR68" s="164"/>
      <c r="AS68" s="164"/>
      <c r="AT68" s="164"/>
      <c r="AU68" s="164"/>
      <c r="AV68" s="164"/>
      <c r="AW68" s="164"/>
      <c r="AX68" s="187">
        <f>6m_teljesitesi_adatok!AX68/modositott_ei!AX68</f>
        <v>0</v>
      </c>
      <c r="AY68" s="164"/>
      <c r="AZ68" s="164"/>
      <c r="BA68" s="164"/>
      <c r="BB68" s="164"/>
      <c r="BC68" s="187"/>
      <c r="BD68" s="190">
        <f>6m_teljesitesi_adatok!BD68/modositott_ei!BD68</f>
        <v>0</v>
      </c>
      <c r="BE68" s="164"/>
      <c r="BF68" s="190"/>
      <c r="BG68" s="205">
        <f>6m_teljesitesi_adatok!BG68/modositott_ei!BG68</f>
        <v>0</v>
      </c>
    </row>
    <row r="69" spans="1:59" s="5" customFormat="1" ht="12.75">
      <c r="A69" s="138"/>
      <c r="B69" s="127" t="s">
        <v>0</v>
      </c>
      <c r="C69" s="181">
        <f>6m_teljesitesi_adatok!C69/modositott_ei!C69</f>
        <v>0.8262432594367884</v>
      </c>
      <c r="D69" s="182"/>
      <c r="E69" s="182">
        <f>6m_teljesitesi_adatok!E69/modositott_ei!E69</f>
        <v>0.735</v>
      </c>
      <c r="F69" s="182">
        <f>6m_teljesitesi_adatok!F69/modositott_ei!F69</f>
        <v>0.5451194501413447</v>
      </c>
      <c r="G69" s="182">
        <f>6m_teljesitesi_adatok!G69/modositott_ei!G69</f>
        <v>0.10509554140127389</v>
      </c>
      <c r="H69" s="182">
        <f>6m_teljesitesi_adatok!H69/modositott_ei!H69</f>
        <v>0.10129310344827586</v>
      </c>
      <c r="I69" s="182">
        <f>6m_teljesitesi_adatok!I69/modositott_ei!I69</f>
        <v>0.5583333333333333</v>
      </c>
      <c r="J69" s="182">
        <f>6m_teljesitesi_adatok!J69/modositott_ei!J69</f>
        <v>0.935</v>
      </c>
      <c r="K69" s="182">
        <f>6m_teljesitesi_adatok!K69/modositott_ei!K69</f>
        <v>0.47876004592422505</v>
      </c>
      <c r="L69" s="182">
        <f>6m_teljesitesi_adatok!L69/modositott_ei!L69</f>
        <v>1</v>
      </c>
      <c r="M69" s="182">
        <f>6m_teljesitesi_adatok!M69/modositott_ei!M69</f>
        <v>0.7222892507986645</v>
      </c>
      <c r="N69" s="182">
        <f>6m_teljesitesi_adatok!N69/modositott_ei!N69</f>
        <v>0.3175993511759935</v>
      </c>
      <c r="O69" s="182">
        <f>6m_teljesitesi_adatok!O69/modositott_ei!O69</f>
        <v>0.035</v>
      </c>
      <c r="P69" s="182">
        <f>6m_teljesitesi_adatok!P69/modositott_ei!P69</f>
        <v>0.45128644939965695</v>
      </c>
      <c r="Q69" s="182">
        <f>6m_teljesitesi_adatok!Q69/modositott_ei!Q69</f>
        <v>0.6364148816234498</v>
      </c>
      <c r="R69" s="182"/>
      <c r="S69" s="182"/>
      <c r="T69" s="182"/>
      <c r="U69" s="182">
        <f>6m_teljesitesi_adatok!U69/modositott_ei!U69</f>
        <v>0.46153846153846156</v>
      </c>
      <c r="V69" s="182">
        <f>6m_teljesitesi_adatok!V69/modositott_ei!V69</f>
        <v>0.46131528046421666</v>
      </c>
      <c r="W69" s="182">
        <f>6m_teljesitesi_adatok!W69/modositott_ei!W69</f>
        <v>0.4162652129817444</v>
      </c>
      <c r="X69" s="182">
        <f>6m_teljesitesi_adatok!X69/modositott_ei!X69</f>
        <v>0.5</v>
      </c>
      <c r="Y69" s="182">
        <f>6m_teljesitesi_adatok!Y69/modositott_ei!Y69</f>
        <v>0.5333333333333333</v>
      </c>
      <c r="Z69" s="182"/>
      <c r="AA69" s="182">
        <f>6m_teljesitesi_adatok!AA69/modositott_ei!AA69</f>
        <v>0.45170305676855893</v>
      </c>
      <c r="AB69" s="182">
        <f>6m_teljesitesi_adatok!AB69/modositott_ei!AB69</f>
        <v>0.3815489749430524</v>
      </c>
      <c r="AC69" s="182">
        <f>6m_teljesitesi_adatok!AC69/modositott_ei!AC69</f>
        <v>0.5166512488436633</v>
      </c>
      <c r="AD69" s="182"/>
      <c r="AE69" s="182"/>
      <c r="AF69" s="182"/>
      <c r="AG69" s="182">
        <f>6m_teljesitesi_adatok!AG69/modositott_ei!AG69</f>
        <v>0.244</v>
      </c>
      <c r="AH69" s="182">
        <f>6m_teljesitesi_adatok!AH69/modositott_ei!AH69</f>
        <v>0.38461538461538464</v>
      </c>
      <c r="AI69" s="182">
        <f>6m_teljesitesi_adatok!AI69/modositott_ei!AI69</f>
        <v>0.0125</v>
      </c>
      <c r="AJ69" s="182">
        <f>6m_teljesitesi_adatok!AJ69/modositott_ei!AJ69</f>
        <v>0.5555555555555556</v>
      </c>
      <c r="AK69" s="182">
        <f>6m_teljesitesi_adatok!AK69/modositott_ei!AK69</f>
        <v>0</v>
      </c>
      <c r="AL69" s="182">
        <f>6m_teljesitesi_adatok!AL69/modositott_ei!AL69</f>
        <v>0.6143497757847534</v>
      </c>
      <c r="AM69" s="182">
        <f>6m_teljesitesi_adatok!AM69/modositott_ei!AM69</f>
        <v>0.1543340380549683</v>
      </c>
      <c r="AN69" s="182">
        <f>6m_teljesitesi_adatok!AN69/modositott_ei!AN69</f>
        <v>0.5618181818181818</v>
      </c>
      <c r="AO69" s="182">
        <f>6m_teljesitesi_adatok!AO69/modositott_ei!AO69</f>
        <v>0.437832362623449</v>
      </c>
      <c r="AP69" s="182">
        <f>6m_teljesitesi_adatok!AP69/modositott_ei!AP69</f>
        <v>0.6153846153846154</v>
      </c>
      <c r="AQ69" s="182"/>
      <c r="AR69" s="182">
        <f>6m_teljesitesi_adatok!AR69/modositott_ei!AR69</f>
        <v>0.5163476198543113</v>
      </c>
      <c r="AS69" s="182">
        <f>6m_teljesitesi_adatok!AS69/modositott_ei!AS69</f>
        <v>0</v>
      </c>
      <c r="AT69" s="182">
        <f>6m_teljesitesi_adatok!AT69/modositott_ei!AT69</f>
        <v>0.30497794580970383</v>
      </c>
      <c r="AU69" s="182">
        <f>6m_teljesitesi_adatok!AU69/modositott_ei!AU69</f>
        <v>0.3274139844617092</v>
      </c>
      <c r="AV69" s="182">
        <f>6m_teljesitesi_adatok!AV69/modositott_ei!AV69</f>
        <v>0.38202247191011235</v>
      </c>
      <c r="AW69" s="182">
        <f>6m_teljesitesi_adatok!AW69/modositott_ei!AW69</f>
        <v>0.025602409638554216</v>
      </c>
      <c r="AX69" s="182">
        <f>6m_teljesitesi_adatok!AX69/modositott_ei!AX69</f>
        <v>0.6018393694138869</v>
      </c>
      <c r="AY69" s="182"/>
      <c r="AZ69" s="182">
        <f>6m_teljesitesi_adatok!AZ69/modositott_ei!AZ69</f>
        <v>0.17243319268635723</v>
      </c>
      <c r="BA69" s="182">
        <f>6m_teljesitesi_adatok!BA69/modositott_ei!BA69</f>
        <v>0.47531637892693973</v>
      </c>
      <c r="BB69" s="182">
        <f>6m_teljesitesi_adatok!BB69/modositott_ei!BB69</f>
        <v>0.488441461595824</v>
      </c>
      <c r="BC69" s="182">
        <f>6m_teljesitesi_adatok!BC69/modositott_ei!BC69</f>
        <v>0.45583311872263715</v>
      </c>
      <c r="BD69" s="182">
        <f>6m_teljesitesi_adatok!BD69/modositott_ei!BD69</f>
        <v>0.5849963076452963</v>
      </c>
      <c r="BE69" s="182">
        <f>6m_teljesitesi_adatok!BE69/modositott_ei!BE69</f>
        <v>0.3779264214046823</v>
      </c>
      <c r="BF69" s="182">
        <f>6m_teljesitesi_adatok!BF69/modositott_ei!BF69</f>
        <v>0.3779264214046823</v>
      </c>
      <c r="BG69" s="195">
        <f>6m_teljesitesi_adatok!BG69/modositott_ei!BG69</f>
        <v>0.5848650070089048</v>
      </c>
    </row>
    <row r="70" spans="3:59" ht="12.75">
      <c r="C70" s="170"/>
      <c r="D70" s="170"/>
      <c r="E70" s="170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  <c r="R70" s="171"/>
      <c r="S70" s="171"/>
      <c r="T70" s="171"/>
      <c r="U70" s="171"/>
      <c r="V70" s="171"/>
      <c r="W70" s="171"/>
      <c r="X70" s="171"/>
      <c r="Y70" s="171"/>
      <c r="Z70" s="171"/>
      <c r="AA70" s="171"/>
      <c r="AB70" s="171"/>
      <c r="AC70" s="171"/>
      <c r="AD70" s="171"/>
      <c r="AE70" s="171"/>
      <c r="AF70" s="171"/>
      <c r="AG70" s="171"/>
      <c r="AH70" s="171"/>
      <c r="AI70" s="171"/>
      <c r="AJ70" s="171"/>
      <c r="AK70" s="171"/>
      <c r="AL70" s="171"/>
      <c r="AM70" s="171"/>
      <c r="AN70" s="171"/>
      <c r="AO70" s="171"/>
      <c r="AP70" s="171"/>
      <c r="AQ70" s="171"/>
      <c r="AR70" s="171"/>
      <c r="AS70" s="171"/>
      <c r="AT70" s="171"/>
      <c r="AU70" s="171"/>
      <c r="AV70" s="171"/>
      <c r="AW70" s="171"/>
      <c r="AX70" s="172"/>
      <c r="AY70" s="171"/>
      <c r="AZ70" s="170"/>
      <c r="BA70" s="171"/>
      <c r="BB70" s="171"/>
      <c r="BC70" s="172"/>
      <c r="BD70" s="172"/>
      <c r="BE70" s="171"/>
      <c r="BF70" s="172"/>
      <c r="BG70" s="196"/>
    </row>
    <row r="71" spans="1:59" s="5" customFormat="1" ht="16.5" customHeight="1">
      <c r="A71" s="139"/>
      <c r="B71" s="140" t="s">
        <v>82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0"/>
      <c r="AV71" s="140"/>
      <c r="AW71" s="140"/>
      <c r="AX71" s="140"/>
      <c r="AY71" s="140"/>
      <c r="AZ71" s="140"/>
      <c r="BA71" s="140"/>
      <c r="BB71" s="140"/>
      <c r="BC71" s="140"/>
      <c r="BD71" s="140"/>
      <c r="BE71" s="140"/>
      <c r="BF71" s="140"/>
      <c r="BG71" s="183">
        <f>6m_teljesitesi_adatok!BG71/modositott_ei!BG71</f>
        <v>0.5724416354179267</v>
      </c>
    </row>
    <row r="72" spans="1:60" s="7" customFormat="1" ht="32.25" customHeight="1">
      <c r="A72" s="32"/>
      <c r="B72" s="30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173"/>
      <c r="AC72" s="173"/>
      <c r="AD72" s="173"/>
      <c r="AE72" s="173"/>
      <c r="AF72" s="173"/>
      <c r="AG72" s="173"/>
      <c r="AH72" s="173"/>
      <c r="AI72" s="173"/>
      <c r="AJ72" s="173"/>
      <c r="AK72" s="173"/>
      <c r="AL72" s="173"/>
      <c r="AM72" s="173"/>
      <c r="AN72" s="173"/>
      <c r="AO72" s="173"/>
      <c r="AP72" s="173"/>
      <c r="AQ72" s="173"/>
      <c r="AR72" s="173"/>
      <c r="AS72" s="173"/>
      <c r="AT72" s="173"/>
      <c r="AU72" s="173"/>
      <c r="AV72" s="173"/>
      <c r="AW72" s="173"/>
      <c r="AX72" s="174"/>
      <c r="AY72" s="173"/>
      <c r="AZ72" s="173"/>
      <c r="BA72" s="173"/>
      <c r="BB72" s="173"/>
      <c r="BC72" s="174"/>
      <c r="BD72" s="174"/>
      <c r="BE72" s="173"/>
      <c r="BF72" s="174"/>
      <c r="BG72" s="197"/>
      <c r="BH72" s="159"/>
    </row>
    <row r="73" spans="1:60" s="5" customFormat="1" ht="19.5" customHeight="1" thickBot="1">
      <c r="A73" s="46"/>
      <c r="B73" s="38" t="s">
        <v>83</v>
      </c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5"/>
      <c r="S73" s="175"/>
      <c r="T73" s="175"/>
      <c r="U73" s="175"/>
      <c r="V73" s="175"/>
      <c r="W73" s="175"/>
      <c r="X73" s="17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  <c r="AY73" s="175"/>
      <c r="AZ73" s="175"/>
      <c r="BA73" s="175"/>
      <c r="BB73" s="175"/>
      <c r="BC73" s="175"/>
      <c r="BD73" s="175"/>
      <c r="BE73" s="175"/>
      <c r="BF73" s="175"/>
      <c r="BG73" s="176"/>
      <c r="BH73" s="159"/>
    </row>
    <row r="74" spans="1:60" s="12" customFormat="1" ht="16.5" customHeight="1">
      <c r="A74" s="54"/>
      <c r="B74" s="60" t="s">
        <v>84</v>
      </c>
      <c r="C74" s="180"/>
      <c r="D74" s="180"/>
      <c r="E74" s="180"/>
      <c r="F74" s="180">
        <f>6m_teljesitesi_adatok!F74/modositott_ei!F74</f>
        <v>1</v>
      </c>
      <c r="G74" s="180"/>
      <c r="H74" s="180"/>
      <c r="I74" s="180"/>
      <c r="J74" s="180"/>
      <c r="K74" s="180"/>
      <c r="L74" s="180"/>
      <c r="M74" s="180">
        <f>6m_teljesitesi_adatok!M74/modositott_ei!M74</f>
        <v>1.0000113746232155</v>
      </c>
      <c r="N74" s="180"/>
      <c r="O74" s="180"/>
      <c r="P74" s="180"/>
      <c r="Q74" s="180">
        <f>6m_teljesitesi_adatok!Q74/modositott_ei!Q74</f>
        <v>1</v>
      </c>
      <c r="R74" s="180"/>
      <c r="S74" s="180"/>
      <c r="T74" s="180">
        <f>6m_teljesitesi_adatok!T74/modositott_ei!T74</f>
        <v>1</v>
      </c>
      <c r="U74" s="180"/>
      <c r="V74" s="180">
        <f>6m_teljesitesi_adatok!V74/modositott_ei!V74</f>
        <v>1</v>
      </c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>
        <f>6m_teljesitesi_adatok!AM74/modositott_ei!AM74</f>
        <v>1</v>
      </c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6">
        <f>6m_teljesitesi_adatok!AX74/modositott_ei!AX74</f>
        <v>1.000010165184244</v>
      </c>
      <c r="AY74" s="180"/>
      <c r="AZ74" s="180"/>
      <c r="BA74" s="180"/>
      <c r="BB74" s="180"/>
      <c r="BC74" s="204"/>
      <c r="BD74" s="180">
        <f>6m_teljesitesi_adatok!BD74/modositott_ei!BD74</f>
        <v>1.000010165184244</v>
      </c>
      <c r="BE74" s="180">
        <f>6m_teljesitesi_adatok!BE74/modositott_ei!BE74</f>
        <v>1</v>
      </c>
      <c r="BF74" s="180">
        <f>6m_teljesitesi_adatok!BF74/modositott_ei!BF74</f>
        <v>1</v>
      </c>
      <c r="BG74" s="194">
        <f>6m_teljesitesi_adatok!BG74/modositott_ei!BG74</f>
        <v>1.0000101559961</v>
      </c>
      <c r="BH74" s="160"/>
    </row>
    <row r="75" spans="1:60" s="12" customFormat="1" ht="15">
      <c r="A75" s="55"/>
      <c r="B75" s="9" t="s">
        <v>62</v>
      </c>
      <c r="C75" s="164"/>
      <c r="D75" s="164"/>
      <c r="E75" s="164"/>
      <c r="F75" s="164">
        <f>6m_teljesitesi_adatok!F75/modositott_ei!F75</f>
        <v>1</v>
      </c>
      <c r="G75" s="164"/>
      <c r="H75" s="164"/>
      <c r="I75" s="164"/>
      <c r="J75" s="164"/>
      <c r="K75" s="164"/>
      <c r="L75" s="164"/>
      <c r="M75" s="164">
        <f>6m_teljesitesi_adatok!M75/modositott_ei!M75</f>
        <v>1.0000177752497423</v>
      </c>
      <c r="N75" s="164"/>
      <c r="O75" s="164"/>
      <c r="P75" s="164"/>
      <c r="Q75" s="164">
        <f>6m_teljesitesi_adatok!Q75/modositott_ei!Q75</f>
        <v>1</v>
      </c>
      <c r="R75" s="164"/>
      <c r="S75" s="164"/>
      <c r="T75" s="164">
        <f>6m_teljesitesi_adatok!T75/modositott_ei!T75</f>
        <v>1</v>
      </c>
      <c r="U75" s="164"/>
      <c r="V75" s="164">
        <f>6m_teljesitesi_adatok!V75/modositott_ei!V75</f>
        <v>1</v>
      </c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>
        <f>6m_teljesitesi_adatok!AM75/modositott_ei!AM75</f>
        <v>1</v>
      </c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87">
        <f>6m_teljesitesi_adatok!AX75/modositott_ei!AX75</f>
        <v>1.0000149884588867</v>
      </c>
      <c r="AY75" s="164"/>
      <c r="AZ75" s="164"/>
      <c r="BA75" s="164"/>
      <c r="BB75" s="164"/>
      <c r="BC75" s="187"/>
      <c r="BD75" s="190">
        <f>6m_teljesitesi_adatok!BD75/modositott_ei!BD75</f>
        <v>1.0000149884588867</v>
      </c>
      <c r="BE75" s="164">
        <f>6m_teljesitesi_adatok!BE75/modositott_ei!BE75</f>
        <v>1</v>
      </c>
      <c r="BF75" s="190">
        <f>6m_teljesitesi_adatok!BF75/modositott_ei!BF75</f>
        <v>1</v>
      </c>
      <c r="BG75" s="205">
        <f>6m_teljesitesi_adatok!BG75/modositott_ei!BG75</f>
        <v>1.0000149684913258</v>
      </c>
      <c r="BH75" s="161"/>
    </row>
    <row r="76" spans="2:60" s="10" customFormat="1" ht="11.25" customHeight="1">
      <c r="B76" s="9" t="s">
        <v>61</v>
      </c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>
        <f>6m_teljesitesi_adatok!M76/modositott_ei!M76</f>
        <v>1</v>
      </c>
      <c r="N76" s="164"/>
      <c r="O76" s="164"/>
      <c r="P76" s="164"/>
      <c r="Q76" s="164"/>
      <c r="R76" s="164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64"/>
      <c r="AG76" s="164"/>
      <c r="AH76" s="164"/>
      <c r="AI76" s="164"/>
      <c r="AJ76" s="164"/>
      <c r="AK76" s="164"/>
      <c r="AL76" s="164"/>
      <c r="AM76" s="164"/>
      <c r="AN76" s="164"/>
      <c r="AO76" s="164"/>
      <c r="AP76" s="164"/>
      <c r="AQ76" s="164"/>
      <c r="AR76" s="164"/>
      <c r="AS76" s="164"/>
      <c r="AT76" s="164"/>
      <c r="AU76" s="164"/>
      <c r="AV76" s="164"/>
      <c r="AW76" s="164"/>
      <c r="AX76" s="187">
        <f>6m_teljesitesi_adatok!AX76/modositott_ei!AX76</f>
        <v>1</v>
      </c>
      <c r="AY76" s="164"/>
      <c r="AZ76" s="164"/>
      <c r="BA76" s="164"/>
      <c r="BB76" s="164"/>
      <c r="BC76" s="187"/>
      <c r="BD76" s="190">
        <f>6m_teljesitesi_adatok!BD76/modositott_ei!BD76</f>
        <v>1</v>
      </c>
      <c r="BE76" s="164"/>
      <c r="BF76" s="190"/>
      <c r="BG76" s="205">
        <f>6m_teljesitesi_adatok!BG76/modositott_ei!BG76</f>
        <v>1</v>
      </c>
      <c r="BH76" s="160"/>
    </row>
    <row r="77" spans="2:59" s="10" customFormat="1" ht="21.75" customHeight="1">
      <c r="B77" s="41"/>
      <c r="C77" s="177"/>
      <c r="D77" s="177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  <c r="AA77" s="177"/>
      <c r="AB77" s="177"/>
      <c r="AC77" s="177"/>
      <c r="AD77" s="177"/>
      <c r="AE77" s="177"/>
      <c r="AF77" s="177"/>
      <c r="AG77" s="177"/>
      <c r="AH77" s="177"/>
      <c r="AI77" s="177"/>
      <c r="AJ77" s="177"/>
      <c r="AK77" s="177"/>
      <c r="AL77" s="177"/>
      <c r="AM77" s="177"/>
      <c r="AN77" s="177"/>
      <c r="AO77" s="177"/>
      <c r="AP77" s="177"/>
      <c r="AQ77" s="177"/>
      <c r="AR77" s="177"/>
      <c r="AS77" s="177"/>
      <c r="AT77" s="177"/>
      <c r="AU77" s="177"/>
      <c r="AV77" s="177"/>
      <c r="AW77" s="177"/>
      <c r="AX77" s="178"/>
      <c r="AY77" s="177"/>
      <c r="AZ77" s="177"/>
      <c r="BA77" s="177"/>
      <c r="BB77" s="177"/>
      <c r="BC77" s="174"/>
      <c r="BD77" s="174"/>
      <c r="BE77" s="177"/>
      <c r="BF77" s="174"/>
      <c r="BG77" s="197"/>
    </row>
    <row r="78" spans="1:59" s="5" customFormat="1" ht="19.5" customHeight="1" thickBot="1">
      <c r="A78" s="46"/>
      <c r="B78" s="38" t="s">
        <v>85</v>
      </c>
      <c r="C78" s="175"/>
      <c r="D78" s="175"/>
      <c r="E78" s="175"/>
      <c r="F78" s="175"/>
      <c r="G78" s="175"/>
      <c r="H78" s="175"/>
      <c r="I78" s="175"/>
      <c r="J78" s="175"/>
      <c r="K78" s="175"/>
      <c r="L78" s="175"/>
      <c r="M78" s="175"/>
      <c r="N78" s="175"/>
      <c r="O78" s="175"/>
      <c r="P78" s="175"/>
      <c r="Q78" s="175"/>
      <c r="R78" s="175"/>
      <c r="S78" s="175"/>
      <c r="T78" s="175"/>
      <c r="U78" s="175"/>
      <c r="V78" s="175"/>
      <c r="W78" s="175"/>
      <c r="X78" s="175"/>
      <c r="Y78" s="175"/>
      <c r="Z78" s="17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  <c r="AY78" s="175"/>
      <c r="AZ78" s="175"/>
      <c r="BA78" s="175"/>
      <c r="BB78" s="175"/>
      <c r="BC78" s="175"/>
      <c r="BD78" s="175"/>
      <c r="BE78" s="175"/>
      <c r="BF78" s="175"/>
      <c r="BG78" s="176"/>
    </row>
    <row r="79" spans="1:59" s="12" customFormat="1" ht="30" customHeight="1">
      <c r="A79" s="54"/>
      <c r="B79" s="61" t="s">
        <v>145</v>
      </c>
      <c r="C79" s="180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>
        <f>6m_teljesitesi_adatok!S79/modositott_ei!S79</f>
        <v>0.6724609877640784</v>
      </c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0"/>
      <c r="AN79" s="180"/>
      <c r="AO79" s="180"/>
      <c r="AP79" s="180"/>
      <c r="AQ79" s="180"/>
      <c r="AR79" s="180"/>
      <c r="AS79" s="180"/>
      <c r="AT79" s="180"/>
      <c r="AU79" s="180"/>
      <c r="AV79" s="180"/>
      <c r="AW79" s="180"/>
      <c r="AX79" s="186">
        <f>6m_teljesitesi_adatok!AX79/modositott_ei!AX79</f>
        <v>0.6724609877640784</v>
      </c>
      <c r="AY79" s="180"/>
      <c r="AZ79" s="180"/>
      <c r="BA79" s="180"/>
      <c r="BB79" s="180"/>
      <c r="BC79" s="204"/>
      <c r="BD79" s="180">
        <f>6m_teljesitesi_adatok!BD79/modositott_ei!BD79</f>
        <v>0.6724609877640784</v>
      </c>
      <c r="BE79" s="180"/>
      <c r="BF79" s="180"/>
      <c r="BG79" s="194">
        <f>6m_teljesitesi_adatok!BG79/modositott_ei!BG79</f>
        <v>0.6724609877640784</v>
      </c>
    </row>
    <row r="80" spans="1:59" s="7" customFormat="1" ht="12.75">
      <c r="A80" s="32"/>
      <c r="B80" s="62" t="s">
        <v>67</v>
      </c>
      <c r="C80" s="164"/>
      <c r="D80" s="164"/>
      <c r="E80" s="164"/>
      <c r="F80" s="164"/>
      <c r="G80" s="164"/>
      <c r="H80" s="164"/>
      <c r="I80" s="164"/>
      <c r="J80" s="164"/>
      <c r="K80" s="164"/>
      <c r="L80" s="164"/>
      <c r="M80" s="164"/>
      <c r="N80" s="164"/>
      <c r="O80" s="164"/>
      <c r="P80" s="164"/>
      <c r="Q80" s="164"/>
      <c r="R80" s="164"/>
      <c r="S80" s="164"/>
      <c r="T80" s="164"/>
      <c r="U80" s="164"/>
      <c r="V80" s="164"/>
      <c r="W80" s="164"/>
      <c r="X80" s="164"/>
      <c r="Y80" s="164"/>
      <c r="Z80" s="164"/>
      <c r="AA80" s="164"/>
      <c r="AB80" s="164"/>
      <c r="AC80" s="164"/>
      <c r="AD80" s="164"/>
      <c r="AE80" s="164"/>
      <c r="AF80" s="164"/>
      <c r="AG80" s="164"/>
      <c r="AH80" s="164"/>
      <c r="AI80" s="164"/>
      <c r="AJ80" s="164"/>
      <c r="AK80" s="164"/>
      <c r="AL80" s="164"/>
      <c r="AM80" s="164"/>
      <c r="AN80" s="164"/>
      <c r="AO80" s="164"/>
      <c r="AP80" s="164"/>
      <c r="AQ80" s="164"/>
      <c r="AR80" s="164"/>
      <c r="AS80" s="164"/>
      <c r="AT80" s="164"/>
      <c r="AU80" s="164"/>
      <c r="AV80" s="164"/>
      <c r="AW80" s="164"/>
      <c r="AX80" s="187"/>
      <c r="AY80" s="164"/>
      <c r="AZ80" s="164"/>
      <c r="BA80" s="164"/>
      <c r="BB80" s="164"/>
      <c r="BC80" s="187"/>
      <c r="BD80" s="190"/>
      <c r="BE80" s="164"/>
      <c r="BF80" s="190"/>
      <c r="BG80" s="205"/>
    </row>
    <row r="81" spans="1:59" s="7" customFormat="1" ht="12.75">
      <c r="A81" s="32"/>
      <c r="B81" s="62" t="s">
        <v>66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164"/>
      <c r="S81" s="164">
        <f>6m_teljesitesi_adatok!S81/modositott_ei!S81</f>
        <v>0</v>
      </c>
      <c r="T81" s="164"/>
      <c r="U81" s="164"/>
      <c r="V81" s="164"/>
      <c r="W81" s="164"/>
      <c r="X81" s="164"/>
      <c r="Y81" s="164"/>
      <c r="Z81" s="164"/>
      <c r="AA81" s="164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4"/>
      <c r="AX81" s="187">
        <f>6m_teljesitesi_adatok!AX81/modositott_ei!AX81</f>
        <v>0</v>
      </c>
      <c r="AY81" s="164"/>
      <c r="AZ81" s="164"/>
      <c r="BA81" s="164"/>
      <c r="BB81" s="164"/>
      <c r="BC81" s="187"/>
      <c r="BD81" s="190">
        <f>6m_teljesitesi_adatok!BD81/modositott_ei!BD81</f>
        <v>0</v>
      </c>
      <c r="BE81" s="164"/>
      <c r="BF81" s="190"/>
      <c r="BG81" s="205">
        <f>6m_teljesitesi_adatok!BG81/modositott_ei!BG81</f>
        <v>0</v>
      </c>
    </row>
    <row r="82" spans="1:59" s="7" customFormat="1" ht="12.75">
      <c r="A82" s="32"/>
      <c r="B82" s="63" t="s">
        <v>65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164"/>
      <c r="S82" s="164">
        <f>6m_teljesitesi_adatok!S82/modositott_ei!S82</f>
        <v>1</v>
      </c>
      <c r="T82" s="164"/>
      <c r="U82" s="164"/>
      <c r="V82" s="164"/>
      <c r="W82" s="164"/>
      <c r="X82" s="164"/>
      <c r="Y82" s="164"/>
      <c r="Z82" s="164"/>
      <c r="AA82" s="164"/>
      <c r="AB82" s="164"/>
      <c r="AC82" s="164"/>
      <c r="AD82" s="164"/>
      <c r="AE82" s="164"/>
      <c r="AF82" s="164"/>
      <c r="AG82" s="164"/>
      <c r="AH82" s="164"/>
      <c r="AI82" s="164"/>
      <c r="AJ82" s="164"/>
      <c r="AK82" s="164"/>
      <c r="AL82" s="164"/>
      <c r="AM82" s="164"/>
      <c r="AN82" s="164"/>
      <c r="AO82" s="164"/>
      <c r="AP82" s="164"/>
      <c r="AQ82" s="164"/>
      <c r="AR82" s="164"/>
      <c r="AS82" s="164"/>
      <c r="AT82" s="164"/>
      <c r="AU82" s="164"/>
      <c r="AV82" s="164"/>
      <c r="AW82" s="164"/>
      <c r="AX82" s="187">
        <f>6m_teljesitesi_adatok!AX82/modositott_ei!AX82</f>
        <v>1</v>
      </c>
      <c r="AY82" s="164"/>
      <c r="AZ82" s="164"/>
      <c r="BA82" s="164"/>
      <c r="BB82" s="164"/>
      <c r="BC82" s="187"/>
      <c r="BD82" s="190">
        <f>6m_teljesitesi_adatok!BD82/modositott_ei!BD82</f>
        <v>1</v>
      </c>
      <c r="BE82" s="164"/>
      <c r="BF82" s="190"/>
      <c r="BG82" s="205">
        <f>6m_teljesitesi_adatok!BG82/modositott_ei!BG82</f>
        <v>1</v>
      </c>
    </row>
    <row r="83" spans="1:59" s="5" customFormat="1" ht="52.5" customHeight="1">
      <c r="A83" s="56"/>
      <c r="B83" s="57" t="s">
        <v>86</v>
      </c>
      <c r="C83" s="184">
        <f>6m_teljesitesi_adatok!C83/modositott_ei!C83</f>
        <v>0.8321667196945594</v>
      </c>
      <c r="D83" s="184"/>
      <c r="E83" s="184"/>
      <c r="F83" s="184">
        <f>6m_teljesitesi_adatok!F83/modositott_ei!F83</f>
        <v>0.6415197860229065</v>
      </c>
      <c r="G83" s="184"/>
      <c r="H83" s="184">
        <f>6m_teljesitesi_adatok!H83/modositott_ei!H83</f>
        <v>0.43989071038251365</v>
      </c>
      <c r="I83" s="184">
        <f>6m_teljesitesi_adatok!I83/modositott_ei!I83</f>
        <v>0.5086206896551724</v>
      </c>
      <c r="J83" s="184"/>
      <c r="K83" s="184">
        <f>6m_teljesitesi_adatok!K83/modositott_ei!K83</f>
        <v>0.3474025974025974</v>
      </c>
      <c r="L83" s="184">
        <f>6m_teljesitesi_adatok!L83/modositott_ei!L83</f>
        <v>1</v>
      </c>
      <c r="M83" s="184">
        <f>6m_teljesitesi_adatok!M83/modositott_ei!M83</f>
        <v>0.8540518813962836</v>
      </c>
      <c r="N83" s="184"/>
      <c r="O83" s="184"/>
      <c r="P83" s="184"/>
      <c r="Q83" s="184">
        <f>6m_teljesitesi_adatok!Q83/modositott_ei!Q83</f>
        <v>1</v>
      </c>
      <c r="R83" s="184">
        <f>6m_teljesitesi_adatok!R83/modositott_ei!R83</f>
        <v>0.5754154992791666</v>
      </c>
      <c r="S83" s="184">
        <f>6m_teljesitesi_adatok!S83/modositott_ei!S83</f>
        <v>0.6724609877640784</v>
      </c>
      <c r="T83" s="184">
        <f>6m_teljesitesi_adatok!T83/modositott_ei!T83</f>
        <v>1</v>
      </c>
      <c r="U83" s="184"/>
      <c r="V83" s="184">
        <f>6m_teljesitesi_adatok!V83/modositott_ei!V83</f>
        <v>0.47301231802911536</v>
      </c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84"/>
      <c r="AL83" s="184"/>
      <c r="AM83" s="184">
        <f>6m_teljesitesi_adatok!AM83/modositott_ei!AM83</f>
        <v>2.0684931506849313</v>
      </c>
      <c r="AN83" s="184"/>
      <c r="AO83" s="184"/>
      <c r="AP83" s="184"/>
      <c r="AQ83" s="184"/>
      <c r="AR83" s="184">
        <f>6m_teljesitesi_adatok!AR83/modositott_ei!AR83</f>
        <v>0.14166666666666666</v>
      </c>
      <c r="AS83" s="184">
        <f>6m_teljesitesi_adatok!AS83/modositott_ei!AS83</f>
        <v>0</v>
      </c>
      <c r="AT83" s="184"/>
      <c r="AU83" s="184"/>
      <c r="AV83" s="184">
        <f>6m_teljesitesi_adatok!AV83/modositott_ei!AV83</f>
        <v>0.6</v>
      </c>
      <c r="AW83" s="184">
        <f>6m_teljesitesi_adatok!AW83/modositott_ei!AW83</f>
        <v>0.5738396624472574</v>
      </c>
      <c r="AX83" s="184">
        <f>6m_teljesitesi_adatok!AX83/modositott_ei!AX83</f>
        <v>0.6883359584521732</v>
      </c>
      <c r="AY83" s="184">
        <f>6m_teljesitesi_adatok!AY83/modositott_ei!AY83</f>
        <v>0.47992149758454106</v>
      </c>
      <c r="AZ83" s="184">
        <f>6m_teljesitesi_adatok!AZ83/modositott_ei!AZ83</f>
        <v>0.10923694779116466</v>
      </c>
      <c r="BA83" s="184"/>
      <c r="BB83" s="184"/>
      <c r="BC83" s="184">
        <f>6m_teljesitesi_adatok!BC83/modositott_ei!BC83</f>
        <v>0.3462689448788493</v>
      </c>
      <c r="BD83" s="184">
        <f>6m_teljesitesi_adatok!BD83/modositott_ei!BD83</f>
        <v>0.6809564766472503</v>
      </c>
      <c r="BE83" s="184">
        <f>6m_teljesitesi_adatok!BE83/modositott_ei!BE83</f>
        <v>0.9966555183946488</v>
      </c>
      <c r="BF83" s="184">
        <f>6m_teljesitesi_adatok!BF83/modositott_ei!BF83</f>
        <v>0.9966555183946488</v>
      </c>
      <c r="BG83" s="184">
        <f>6m_teljesitesi_adatok!BG83/modositott_ei!BG83</f>
        <v>0.681152935202028</v>
      </c>
    </row>
    <row r="84" spans="1:59" s="5" customFormat="1" ht="27" customHeight="1">
      <c r="A84" s="46"/>
      <c r="B84" s="47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S84" s="175"/>
      <c r="T84" s="175"/>
      <c r="U84" s="175"/>
      <c r="V84" s="175"/>
      <c r="W84" s="175"/>
      <c r="X84" s="175"/>
      <c r="Y84" s="175"/>
      <c r="Z84" s="17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L84" s="175"/>
      <c r="AM84" s="175"/>
      <c r="AN84" s="175"/>
      <c r="AO84" s="175"/>
      <c r="AP84" s="175"/>
      <c r="AQ84" s="175"/>
      <c r="AR84" s="175"/>
      <c r="AS84" s="175"/>
      <c r="AT84" s="175"/>
      <c r="AU84" s="175"/>
      <c r="AV84" s="175"/>
      <c r="AW84" s="175"/>
      <c r="AX84" s="175"/>
      <c r="AY84" s="175"/>
      <c r="AZ84" s="175"/>
      <c r="BA84" s="175"/>
      <c r="BB84" s="175"/>
      <c r="BC84" s="175"/>
      <c r="BD84" s="175"/>
      <c r="BE84" s="175"/>
      <c r="BF84" s="175"/>
      <c r="BG84" s="179"/>
    </row>
    <row r="85" spans="1:59" s="12" customFormat="1" ht="30" customHeight="1">
      <c r="A85" s="54"/>
      <c r="B85" s="43" t="s">
        <v>144</v>
      </c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>
        <f>6m_teljesitesi_adatok!S85/modositott_ei!S85</f>
        <v>0.45898153329602687</v>
      </c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0"/>
      <c r="AN85" s="180"/>
      <c r="AO85" s="180"/>
      <c r="AP85" s="180"/>
      <c r="AQ85" s="180"/>
      <c r="AR85" s="180"/>
      <c r="AS85" s="180"/>
      <c r="AT85" s="180"/>
      <c r="AU85" s="180"/>
      <c r="AV85" s="180"/>
      <c r="AW85" s="180"/>
      <c r="AX85" s="186">
        <f>6m_teljesitesi_adatok!AX85/modositott_ei!AX85</f>
        <v>0.45898153329602687</v>
      </c>
      <c r="AY85" s="180"/>
      <c r="AZ85" s="180"/>
      <c r="BA85" s="180"/>
      <c r="BB85" s="180"/>
      <c r="BC85" s="204"/>
      <c r="BD85" s="180">
        <f>6m_teljesitesi_adatok!BD85/modositott_ei!BD85</f>
        <v>0.45898153329602687</v>
      </c>
      <c r="BE85" s="180"/>
      <c r="BF85" s="180"/>
      <c r="BG85" s="194">
        <f>6m_teljesitesi_adatok!BG85/modositott_ei!BG85</f>
        <v>0.45898153329602687</v>
      </c>
    </row>
    <row r="86" spans="1:59" s="12" customFormat="1" ht="12.75" customHeight="1">
      <c r="A86" s="54"/>
      <c r="B86" s="90" t="s">
        <v>196</v>
      </c>
      <c r="C86" s="164"/>
      <c r="D86" s="164"/>
      <c r="E86" s="164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87"/>
      <c r="AY86" s="164"/>
      <c r="AZ86" s="164"/>
      <c r="BA86" s="164"/>
      <c r="BB86" s="164"/>
      <c r="BC86" s="187"/>
      <c r="BD86" s="190"/>
      <c r="BE86" s="164"/>
      <c r="BF86" s="190"/>
      <c r="BG86" s="205"/>
    </row>
    <row r="87" spans="2:59" s="10" customFormat="1" ht="11.25" customHeight="1">
      <c r="B87" s="9" t="s">
        <v>1</v>
      </c>
      <c r="C87" s="164"/>
      <c r="D87" s="164"/>
      <c r="E87" s="164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>
        <f>6m_teljesitesi_adatok!S87/modositott_ei!S87</f>
        <v>0.45898153329602687</v>
      </c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164"/>
      <c r="AK87" s="164"/>
      <c r="AL87" s="164"/>
      <c r="AM87" s="164"/>
      <c r="AN87" s="164"/>
      <c r="AO87" s="164"/>
      <c r="AP87" s="164"/>
      <c r="AQ87" s="164"/>
      <c r="AR87" s="164"/>
      <c r="AS87" s="164"/>
      <c r="AT87" s="164"/>
      <c r="AU87" s="164"/>
      <c r="AV87" s="164"/>
      <c r="AW87" s="164"/>
      <c r="AX87" s="187">
        <f>6m_teljesitesi_adatok!AX87/modositott_ei!AX87</f>
        <v>0.45898153329602687</v>
      </c>
      <c r="AY87" s="164"/>
      <c r="AZ87" s="164"/>
      <c r="BA87" s="164"/>
      <c r="BB87" s="164"/>
      <c r="BC87" s="187"/>
      <c r="BD87" s="190">
        <f>6m_teljesitesi_adatok!BD87/modositott_ei!BD87</f>
        <v>0.45898153329602687</v>
      </c>
      <c r="BE87" s="164"/>
      <c r="BF87" s="190"/>
      <c r="BG87" s="205">
        <f>6m_teljesitesi_adatok!BG87/modositott_ei!BG87</f>
        <v>0.45898153329602687</v>
      </c>
    </row>
    <row r="88" spans="2:59" s="10" customFormat="1" ht="11.25" customHeight="1">
      <c r="B88" s="9" t="s">
        <v>87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164"/>
      <c r="AK88" s="164"/>
      <c r="AL88" s="164"/>
      <c r="AM88" s="164"/>
      <c r="AN88" s="164"/>
      <c r="AO88" s="164"/>
      <c r="AP88" s="164"/>
      <c r="AQ88" s="164"/>
      <c r="AR88" s="164"/>
      <c r="AS88" s="164"/>
      <c r="AT88" s="164"/>
      <c r="AU88" s="164"/>
      <c r="AV88" s="164"/>
      <c r="AW88" s="164"/>
      <c r="AX88" s="187"/>
      <c r="AY88" s="164"/>
      <c r="AZ88" s="164"/>
      <c r="BA88" s="164"/>
      <c r="BB88" s="164"/>
      <c r="BC88" s="187"/>
      <c r="BD88" s="190"/>
      <c r="BE88" s="164"/>
      <c r="BF88" s="190"/>
      <c r="BG88" s="205"/>
    </row>
    <row r="89" spans="1:59" s="5" customFormat="1" ht="37.5" customHeight="1">
      <c r="A89" s="47"/>
      <c r="B89" s="57" t="s">
        <v>88</v>
      </c>
      <c r="C89" s="184">
        <f>6m_teljesitesi_adatok!C89/modositott_ei!C89</f>
        <v>0.8262432594367884</v>
      </c>
      <c r="D89" s="184">
        <f>6m_teljesitesi_adatok!D89/modositott_ei!D89</f>
        <v>0</v>
      </c>
      <c r="E89" s="184">
        <f>6m_teljesitesi_adatok!E89/modositott_ei!E89</f>
        <v>0.735</v>
      </c>
      <c r="F89" s="184">
        <f>6m_teljesitesi_adatok!F89/modositott_ei!F89</f>
        <v>0.5451194501413447</v>
      </c>
      <c r="G89" s="184">
        <f>6m_teljesitesi_adatok!G89/modositott_ei!G89</f>
        <v>0.10509554140127389</v>
      </c>
      <c r="H89" s="184">
        <f>6m_teljesitesi_adatok!H89/modositott_ei!H89</f>
        <v>0.10129310344827586</v>
      </c>
      <c r="I89" s="184">
        <f>6m_teljesitesi_adatok!I89/modositott_ei!I89</f>
        <v>0.5583333333333333</v>
      </c>
      <c r="J89" s="184">
        <f>6m_teljesitesi_adatok!J89/modositott_ei!J89</f>
        <v>0.935</v>
      </c>
      <c r="K89" s="184">
        <f>6m_teljesitesi_adatok!K89/modositott_ei!K89</f>
        <v>0.47876004592422505</v>
      </c>
      <c r="L89" s="184">
        <f>6m_teljesitesi_adatok!L89/modositott_ei!L89</f>
        <v>1</v>
      </c>
      <c r="M89" s="184">
        <f>6m_teljesitesi_adatok!M89/modositott_ei!M89</f>
        <v>0.7222892507986645</v>
      </c>
      <c r="N89" s="184">
        <f>6m_teljesitesi_adatok!N89/modositott_ei!N89</f>
        <v>0.3175993511759935</v>
      </c>
      <c r="O89" s="184">
        <f>6m_teljesitesi_adatok!O89/modositott_ei!O89</f>
        <v>0.035</v>
      </c>
      <c r="P89" s="184">
        <f>6m_teljesitesi_adatok!P89/modositott_ei!P89</f>
        <v>0.45128644939965695</v>
      </c>
      <c r="Q89" s="184">
        <f>6m_teljesitesi_adatok!Q89/modositott_ei!Q89</f>
        <v>0.6364148816234498</v>
      </c>
      <c r="R89" s="184"/>
      <c r="S89" s="184">
        <f>6m_teljesitesi_adatok!S89/modositott_ei!S89</f>
        <v>0.45898153329602687</v>
      </c>
      <c r="T89" s="184">
        <f>6m_teljesitesi_adatok!T89/modositott_ei!T89</f>
        <v>0</v>
      </c>
      <c r="U89" s="184">
        <f>6m_teljesitesi_adatok!U89/modositott_ei!U89</f>
        <v>0.46153846153846156</v>
      </c>
      <c r="V89" s="184">
        <f>6m_teljesitesi_adatok!V89/modositott_ei!V89</f>
        <v>0.46131528046421666</v>
      </c>
      <c r="W89" s="184">
        <f>6m_teljesitesi_adatok!W89/modositott_ei!W89</f>
        <v>0.4162652129817444</v>
      </c>
      <c r="X89" s="184">
        <f>6m_teljesitesi_adatok!X89/modositott_ei!X89</f>
        <v>0.5</v>
      </c>
      <c r="Y89" s="184">
        <f>6m_teljesitesi_adatok!Y89/modositott_ei!Y89</f>
        <v>0.5333333333333333</v>
      </c>
      <c r="Z89" s="184"/>
      <c r="AA89" s="184">
        <f>6m_teljesitesi_adatok!AA89/modositott_ei!AA89</f>
        <v>0.45170305676855893</v>
      </c>
      <c r="AB89" s="184">
        <f>6m_teljesitesi_adatok!AB89/modositott_ei!AB89</f>
        <v>0.3815489749430524</v>
      </c>
      <c r="AC89" s="184">
        <f>6m_teljesitesi_adatok!AC89/modositott_ei!AC89</f>
        <v>0.5166512488436633</v>
      </c>
      <c r="AD89" s="184"/>
      <c r="AE89" s="184"/>
      <c r="AF89" s="184"/>
      <c r="AG89" s="184">
        <f>6m_teljesitesi_adatok!AG89/modositott_ei!AG89</f>
        <v>0.244</v>
      </c>
      <c r="AH89" s="184">
        <f>6m_teljesitesi_adatok!AH89/modositott_ei!AH89</f>
        <v>0.38461538461538464</v>
      </c>
      <c r="AI89" s="184">
        <f>6m_teljesitesi_adatok!AI89/modositott_ei!AI89</f>
        <v>0.0125</v>
      </c>
      <c r="AJ89" s="184">
        <f>6m_teljesitesi_adatok!AJ89/modositott_ei!AJ89</f>
        <v>0.5555555555555556</v>
      </c>
      <c r="AK89" s="184">
        <f>6m_teljesitesi_adatok!AK89/modositott_ei!AK89</f>
        <v>0</v>
      </c>
      <c r="AL89" s="184">
        <f>6m_teljesitesi_adatok!AL89/modositott_ei!AL89</f>
        <v>0.6143497757847534</v>
      </c>
      <c r="AM89" s="184">
        <f>6m_teljesitesi_adatok!AM89/modositott_ei!AM89</f>
        <v>0.1543340380549683</v>
      </c>
      <c r="AN89" s="184">
        <f>6m_teljesitesi_adatok!AN89/modositott_ei!AN89</f>
        <v>0.5618181818181818</v>
      </c>
      <c r="AO89" s="184">
        <f>6m_teljesitesi_adatok!AO89/modositott_ei!AO89</f>
        <v>0.437832362623449</v>
      </c>
      <c r="AP89" s="184">
        <f>6m_teljesitesi_adatok!AP89/modositott_ei!AP89</f>
        <v>0.6153846153846154</v>
      </c>
      <c r="AQ89" s="184"/>
      <c r="AR89" s="184">
        <f>6m_teljesitesi_adatok!AR89/modositott_ei!AR89</f>
        <v>0.5163476198543113</v>
      </c>
      <c r="AS89" s="184">
        <f>6m_teljesitesi_adatok!AS89/modositott_ei!AS89</f>
        <v>0</v>
      </c>
      <c r="AT89" s="184">
        <f>6m_teljesitesi_adatok!AT89/modositott_ei!AT89</f>
        <v>0.30497794580970383</v>
      </c>
      <c r="AU89" s="184">
        <f>6m_teljesitesi_adatok!AU89/modositott_ei!AU89</f>
        <v>0.3274139844617092</v>
      </c>
      <c r="AV89" s="184">
        <f>6m_teljesitesi_adatok!AV89/modositott_ei!AV89</f>
        <v>0.38202247191011235</v>
      </c>
      <c r="AW89" s="184">
        <f>6m_teljesitesi_adatok!AW89/modositott_ei!AW89</f>
        <v>0.025602409638554216</v>
      </c>
      <c r="AX89" s="184">
        <f>6m_teljesitesi_adatok!AX89/modositott_ei!AX89</f>
        <v>0.5988417559655909</v>
      </c>
      <c r="AY89" s="184"/>
      <c r="AZ89" s="184">
        <f>6m_teljesitesi_adatok!AZ89/modositott_ei!AZ89</f>
        <v>0.17243319268635723</v>
      </c>
      <c r="BA89" s="184">
        <f>6m_teljesitesi_adatok!BA89/modositott_ei!BA89</f>
        <v>0.47531637892693973</v>
      </c>
      <c r="BB89" s="184">
        <f>6m_teljesitesi_adatok!BB89/modositott_ei!BB89</f>
        <v>0.488441461595824</v>
      </c>
      <c r="BC89" s="184">
        <f>6m_teljesitesi_adatok!BC89/modositott_ei!BC89</f>
        <v>0.45583311872263715</v>
      </c>
      <c r="BD89" s="184">
        <f>6m_teljesitesi_adatok!BD89/modositott_ei!BD89</f>
        <v>0.5826514695561447</v>
      </c>
      <c r="BE89" s="184">
        <f>6m_teljesitesi_adatok!BE89/modositott_ei!BE89</f>
        <v>0.3779264214046823</v>
      </c>
      <c r="BF89" s="184">
        <f>6m_teljesitesi_adatok!BF89/modositott_ei!BF89</f>
        <v>0.3779264214046823</v>
      </c>
      <c r="BG89" s="184">
        <f>6m_teljesitesi_adatok!BG89/modositott_ei!BG89</f>
        <v>0.5825240697805102</v>
      </c>
    </row>
  </sheetData>
  <sheetProtection selectLockedCells="1"/>
  <mergeCells count="19">
    <mergeCell ref="A1:AA1"/>
    <mergeCell ref="A2:B4"/>
    <mergeCell ref="C2:AB2"/>
    <mergeCell ref="AC2:AW2"/>
    <mergeCell ref="AX2:AX4"/>
    <mergeCell ref="AY2:BB2"/>
    <mergeCell ref="A52:B54"/>
    <mergeCell ref="C52:AB52"/>
    <mergeCell ref="AC52:AW52"/>
    <mergeCell ref="AX52:AX54"/>
    <mergeCell ref="AY52:BB52"/>
    <mergeCell ref="BC52:BC54"/>
    <mergeCell ref="BD52:BD54"/>
    <mergeCell ref="BF52:BF54"/>
    <mergeCell ref="BG52:BG54"/>
    <mergeCell ref="BC2:BC4"/>
    <mergeCell ref="BD2:BD4"/>
    <mergeCell ref="BF2:BF4"/>
    <mergeCell ref="BG2:BG4"/>
  </mergeCells>
  <printOptions horizontalCentered="1" verticalCentered="1"/>
  <pageMargins left="0.3937007874015748" right="0.3937007874015748" top="0" bottom="0.15748031496062992" header="0.5118110236220472" footer="0.15748031496062992"/>
  <pageSetup horizontalDpi="600" verticalDpi="600" orientation="landscape" paperSize="8" scale="53" r:id="rId2"/>
  <headerFooter alignWithMargins="0">
    <oddHeader>&amp;R7. sz. melléklet</oddHeader>
    <oddFooter>&amp;L&amp;D&amp;C&amp;P</oddFooter>
  </headerFooter>
  <colBreaks count="1" manualBreakCount="1">
    <brk id="28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G30"/>
  <sheetViews>
    <sheetView view="pageBreakPreview" zoomScale="60" zoomScaleNormal="80" zoomScalePageLayoutView="0" workbookViewId="0" topLeftCell="B2">
      <selection activeCell="C34" sqref="C34"/>
    </sheetView>
  </sheetViews>
  <sheetFormatPr defaultColWidth="9.140625" defaultRowHeight="15"/>
  <cols>
    <col min="1" max="1" width="21.421875" style="383" hidden="1" customWidth="1"/>
    <col min="2" max="2" width="21.7109375" style="383" customWidth="1"/>
    <col min="3" max="3" width="70.140625" style="383" customWidth="1"/>
    <col min="4" max="4" width="15.57421875" style="383" customWidth="1"/>
    <col min="5" max="5" width="16.8515625" style="383" customWidth="1"/>
    <col min="6" max="6" width="19.57421875" style="383" customWidth="1"/>
    <col min="7" max="7" width="24.421875" style="383" bestFit="1" customWidth="1"/>
  </cols>
  <sheetData>
    <row r="1" spans="1:7" ht="20.25">
      <c r="A1" s="643" t="s">
        <v>375</v>
      </c>
      <c r="B1" s="643"/>
      <c r="C1" s="643"/>
      <c r="D1" s="643"/>
      <c r="E1" s="643"/>
      <c r="F1" s="643"/>
      <c r="G1"/>
    </row>
    <row r="2" spans="1:7" ht="40.5" customHeight="1" thickBot="1">
      <c r="A2" s="644"/>
      <c r="B2" s="644"/>
      <c r="C2" s="644"/>
      <c r="D2" s="358"/>
      <c r="E2" s="358"/>
      <c r="F2" s="358"/>
      <c r="G2" s="358"/>
    </row>
    <row r="3" spans="2:7" ht="32.25" customHeight="1" thickBot="1">
      <c r="B3" s="387" t="s">
        <v>363</v>
      </c>
      <c r="C3" s="388" t="s">
        <v>346</v>
      </c>
      <c r="D3" s="390" t="s">
        <v>347</v>
      </c>
      <c r="E3" s="391" t="s">
        <v>348</v>
      </c>
      <c r="F3" s="392" t="s">
        <v>364</v>
      </c>
      <c r="G3" s="389" t="s">
        <v>365</v>
      </c>
    </row>
    <row r="4" spans="2:7" ht="40.5" customHeight="1">
      <c r="B4" s="647" t="s">
        <v>366</v>
      </c>
      <c r="C4" s="648"/>
      <c r="D4" s="648"/>
      <c r="E4" s="648"/>
      <c r="F4" s="648"/>
      <c r="G4" s="648"/>
    </row>
    <row r="5" spans="1:7" ht="15">
      <c r="A5" s="359">
        <v>373251</v>
      </c>
      <c r="B5" s="386">
        <v>841126</v>
      </c>
      <c r="C5" s="361" t="s">
        <v>349</v>
      </c>
      <c r="D5" s="364">
        <v>1462</v>
      </c>
      <c r="E5" s="365">
        <v>1462</v>
      </c>
      <c r="F5" s="366">
        <v>383</v>
      </c>
      <c r="G5" s="393">
        <f aca="true" t="shared" si="0" ref="G5:G30">F5/E5</f>
        <v>0.26196990424076605</v>
      </c>
    </row>
    <row r="6" spans="2:7" ht="15" customHeight="1">
      <c r="B6" s="649" t="s">
        <v>361</v>
      </c>
      <c r="C6" s="650"/>
      <c r="D6" s="395">
        <f>SUM(D5:D5)</f>
        <v>1462</v>
      </c>
      <c r="E6" s="395">
        <f>SUM(E5:E5)</f>
        <v>1462</v>
      </c>
      <c r="F6" s="395">
        <f>SUM(F5:F5)</f>
        <v>383</v>
      </c>
      <c r="G6" s="396">
        <f t="shared" si="0"/>
        <v>0.26196990424076605</v>
      </c>
    </row>
    <row r="7" spans="1:7" ht="15">
      <c r="A7" s="369">
        <v>373262</v>
      </c>
      <c r="B7" s="360">
        <v>841126</v>
      </c>
      <c r="C7" s="361" t="s">
        <v>350</v>
      </c>
      <c r="D7" s="364">
        <v>1211</v>
      </c>
      <c r="E7" s="365">
        <v>1493</v>
      </c>
      <c r="F7" s="370">
        <v>825</v>
      </c>
      <c r="G7" s="393">
        <f t="shared" si="0"/>
        <v>0.5525787006028131</v>
      </c>
    </row>
    <row r="8" spans="2:7" ht="15" customHeight="1">
      <c r="B8" s="649" t="s">
        <v>362</v>
      </c>
      <c r="C8" s="650"/>
      <c r="D8" s="395">
        <f>SUM(D7:D7)</f>
        <v>1211</v>
      </c>
      <c r="E8" s="395">
        <f>SUM(E7:E7)</f>
        <v>1493</v>
      </c>
      <c r="F8" s="395">
        <f>SUM(F7:F7)</f>
        <v>825</v>
      </c>
      <c r="G8" s="396">
        <f t="shared" si="0"/>
        <v>0.5525787006028131</v>
      </c>
    </row>
    <row r="9" spans="2:7" ht="30" customHeight="1" thickBot="1">
      <c r="B9" s="645" t="s">
        <v>370</v>
      </c>
      <c r="C9" s="646"/>
      <c r="D9" s="398">
        <f>SUM(D8,D6)</f>
        <v>2673</v>
      </c>
      <c r="E9" s="398">
        <f>SUM(E8,E6)</f>
        <v>2955</v>
      </c>
      <c r="F9" s="398">
        <f>SUM(F8,F6)</f>
        <v>1208</v>
      </c>
      <c r="G9" s="399">
        <f t="shared" si="0"/>
        <v>0.4087986463620981</v>
      </c>
    </row>
    <row r="10" spans="1:7" s="402" customFormat="1" ht="38.25" customHeight="1">
      <c r="A10" s="400"/>
      <c r="B10" s="647" t="s">
        <v>373</v>
      </c>
      <c r="C10" s="648"/>
      <c r="D10" s="648"/>
      <c r="E10" s="648"/>
      <c r="F10" s="648"/>
      <c r="G10" s="648"/>
    </row>
    <row r="11" spans="1:7" ht="28.5">
      <c r="A11" s="371">
        <v>381252</v>
      </c>
      <c r="B11" s="360">
        <v>841126</v>
      </c>
      <c r="C11" s="361" t="s">
        <v>351</v>
      </c>
      <c r="D11" s="363">
        <v>500</v>
      </c>
      <c r="E11" s="372">
        <v>500</v>
      </c>
      <c r="F11" s="367"/>
      <c r="G11" s="393">
        <f t="shared" si="0"/>
        <v>0</v>
      </c>
    </row>
    <row r="12" spans="1:7" ht="15">
      <c r="A12" s="371">
        <v>381252</v>
      </c>
      <c r="B12" s="360">
        <v>841126</v>
      </c>
      <c r="C12" s="360" t="s">
        <v>352</v>
      </c>
      <c r="D12" s="363"/>
      <c r="E12" s="372">
        <v>250</v>
      </c>
      <c r="F12" s="367">
        <v>250</v>
      </c>
      <c r="G12" s="393">
        <f t="shared" si="0"/>
        <v>1</v>
      </c>
    </row>
    <row r="13" spans="2:7" ht="15" customHeight="1">
      <c r="B13" s="649" t="s">
        <v>353</v>
      </c>
      <c r="C13" s="650"/>
      <c r="D13" s="397">
        <f>SUM(D11:D12)</f>
        <v>500</v>
      </c>
      <c r="E13" s="397">
        <f>SUM(E11:E12)</f>
        <v>750</v>
      </c>
      <c r="F13" s="397">
        <f>SUM(F11:F12)</f>
        <v>250</v>
      </c>
      <c r="G13" s="396">
        <f t="shared" si="0"/>
        <v>0.3333333333333333</v>
      </c>
    </row>
    <row r="14" spans="1:7" s="402" customFormat="1" ht="15" customHeight="1">
      <c r="A14" s="400"/>
      <c r="B14" s="401"/>
      <c r="C14" s="405"/>
      <c r="D14" s="406"/>
      <c r="E14" s="406"/>
      <c r="F14" s="406"/>
      <c r="G14" s="394"/>
    </row>
    <row r="15" spans="2:7" ht="15">
      <c r="B15" s="651" t="s">
        <v>354</v>
      </c>
      <c r="C15" s="652"/>
      <c r="D15" s="368"/>
      <c r="E15" s="368"/>
      <c r="F15" s="368"/>
      <c r="G15" s="368"/>
    </row>
    <row r="16" spans="1:7" ht="15">
      <c r="A16" s="371">
        <v>38126</v>
      </c>
      <c r="B16" s="362">
        <v>841126</v>
      </c>
      <c r="C16" s="373" t="s">
        <v>305</v>
      </c>
      <c r="D16" s="374">
        <v>9017</v>
      </c>
      <c r="E16" s="375">
        <v>9017</v>
      </c>
      <c r="F16" s="367"/>
      <c r="G16" s="393">
        <f t="shared" si="0"/>
        <v>0</v>
      </c>
    </row>
    <row r="17" spans="2:7" ht="15">
      <c r="B17" s="651" t="s">
        <v>367</v>
      </c>
      <c r="C17" s="652"/>
      <c r="D17" s="368">
        <f>SUM(D16:D16)</f>
        <v>9017</v>
      </c>
      <c r="E17" s="368">
        <f>SUM(E16:E16)</f>
        <v>9017</v>
      </c>
      <c r="F17" s="368">
        <f>SUM(F16:F16)</f>
        <v>0</v>
      </c>
      <c r="G17" s="396">
        <f t="shared" si="0"/>
        <v>0</v>
      </c>
    </row>
    <row r="18" spans="1:7" ht="15">
      <c r="A18" s="371">
        <v>38122</v>
      </c>
      <c r="B18" s="362">
        <v>841126</v>
      </c>
      <c r="C18" s="373" t="s">
        <v>355</v>
      </c>
      <c r="D18" s="374">
        <v>145</v>
      </c>
      <c r="E18" s="375">
        <v>145</v>
      </c>
      <c r="F18" s="367">
        <v>60</v>
      </c>
      <c r="G18" s="393">
        <f t="shared" si="0"/>
        <v>0.41379310344827586</v>
      </c>
    </row>
    <row r="19" spans="2:7" ht="17.25" customHeight="1">
      <c r="B19" s="651" t="s">
        <v>368</v>
      </c>
      <c r="C19" s="652"/>
      <c r="D19" s="368">
        <f>SUM(D18:D18)</f>
        <v>145</v>
      </c>
      <c r="E19" s="368">
        <f>SUM(E18:E18)</f>
        <v>145</v>
      </c>
      <c r="F19" s="368">
        <f>SUM(F18:F18)</f>
        <v>60</v>
      </c>
      <c r="G19" s="396">
        <f t="shared" si="0"/>
        <v>0.41379310344827586</v>
      </c>
    </row>
    <row r="20" spans="1:7" ht="15">
      <c r="A20" s="377">
        <v>381242</v>
      </c>
      <c r="B20" s="378">
        <v>841126</v>
      </c>
      <c r="C20" s="378" t="s">
        <v>356</v>
      </c>
      <c r="D20" s="374">
        <v>50</v>
      </c>
      <c r="E20" s="375">
        <v>50</v>
      </c>
      <c r="F20" s="367">
        <v>30</v>
      </c>
      <c r="G20" s="393">
        <f t="shared" si="0"/>
        <v>0.6</v>
      </c>
    </row>
    <row r="21" spans="2:7" ht="15">
      <c r="B21" s="651" t="s">
        <v>357</v>
      </c>
      <c r="C21" s="652"/>
      <c r="D21" s="368">
        <f>SUM(D20:D20)</f>
        <v>50</v>
      </c>
      <c r="E21" s="368">
        <f>SUM(E20:E20)</f>
        <v>50</v>
      </c>
      <c r="F21" s="368">
        <f>SUM(F20:F20)</f>
        <v>30</v>
      </c>
      <c r="G21" s="396">
        <f t="shared" si="0"/>
        <v>0.6</v>
      </c>
    </row>
    <row r="22" spans="1:7" ht="15">
      <c r="A22" s="359">
        <v>381254</v>
      </c>
      <c r="B22" s="379">
        <v>841112</v>
      </c>
      <c r="C22" s="361" t="s">
        <v>358</v>
      </c>
      <c r="D22" s="380">
        <v>600</v>
      </c>
      <c r="E22" s="381">
        <v>600</v>
      </c>
      <c r="F22" s="382">
        <v>0</v>
      </c>
      <c r="G22" s="393">
        <f t="shared" si="0"/>
        <v>0</v>
      </c>
    </row>
    <row r="23" spans="2:7" ht="15">
      <c r="B23" s="651" t="s">
        <v>369</v>
      </c>
      <c r="C23" s="652"/>
      <c r="D23" s="368">
        <f>SUM(D22)</f>
        <v>600</v>
      </c>
      <c r="E23" s="368">
        <f>SUM(E22)</f>
        <v>600</v>
      </c>
      <c r="F23" s="368">
        <f>SUM(F22)</f>
        <v>0</v>
      </c>
      <c r="G23" s="396">
        <f t="shared" si="0"/>
        <v>0</v>
      </c>
    </row>
    <row r="24" spans="1:7" s="402" customFormat="1" ht="15">
      <c r="A24" s="400"/>
      <c r="B24" s="403"/>
      <c r="C24" s="404"/>
      <c r="D24" s="382"/>
      <c r="E24" s="382"/>
      <c r="F24" s="382"/>
      <c r="G24" s="394"/>
    </row>
    <row r="25" spans="1:7" s="402" customFormat="1" ht="15">
      <c r="A25" s="400"/>
      <c r="B25" s="403"/>
      <c r="C25" s="404"/>
      <c r="D25" s="382"/>
      <c r="E25" s="382"/>
      <c r="F25" s="382"/>
      <c r="G25" s="394"/>
    </row>
    <row r="26" spans="2:7" ht="34.5" customHeight="1" thickBot="1">
      <c r="B26" s="645" t="s">
        <v>371</v>
      </c>
      <c r="C26" s="646"/>
      <c r="D26" s="398">
        <f>D13+D15+D17+D19+D21+D23</f>
        <v>10312</v>
      </c>
      <c r="E26" s="398">
        <f>E13+E15+E17+E19+E21+E23</f>
        <v>10562</v>
      </c>
      <c r="F26" s="398">
        <f>F13+F15+F17+F19+F21+F23</f>
        <v>340</v>
      </c>
      <c r="G26" s="399">
        <f t="shared" si="0"/>
        <v>0.03219087294073092</v>
      </c>
    </row>
    <row r="27" spans="1:7" s="402" customFormat="1" ht="39.75" customHeight="1">
      <c r="A27" s="400"/>
      <c r="B27" s="647" t="s">
        <v>374</v>
      </c>
      <c r="C27" s="648"/>
      <c r="D27" s="648"/>
      <c r="E27" s="648"/>
      <c r="F27" s="648"/>
      <c r="G27" s="648"/>
    </row>
    <row r="28" spans="1:7" ht="15">
      <c r="A28" s="371">
        <v>381256</v>
      </c>
      <c r="B28" s="362">
        <v>841127</v>
      </c>
      <c r="C28" s="373" t="s">
        <v>359</v>
      </c>
      <c r="D28" s="380">
        <v>4</v>
      </c>
      <c r="E28" s="381">
        <v>4</v>
      </c>
      <c r="F28" s="382">
        <v>4</v>
      </c>
      <c r="G28" s="393">
        <f t="shared" si="0"/>
        <v>1</v>
      </c>
    </row>
    <row r="29" spans="2:7" ht="15">
      <c r="B29" s="384" t="s">
        <v>360</v>
      </c>
      <c r="C29" s="385"/>
      <c r="D29" s="376">
        <f>D28</f>
        <v>4</v>
      </c>
      <c r="E29" s="376">
        <f>E28</f>
        <v>4</v>
      </c>
      <c r="F29" s="376">
        <f>F28</f>
        <v>4</v>
      </c>
      <c r="G29" s="396">
        <f t="shared" si="0"/>
        <v>1</v>
      </c>
    </row>
    <row r="30" spans="2:7" ht="38.25" customHeight="1">
      <c r="B30" s="645" t="s">
        <v>372</v>
      </c>
      <c r="C30" s="646"/>
      <c r="D30" s="398">
        <f>D9+D26+D29</f>
        <v>12989</v>
      </c>
      <c r="E30" s="398">
        <f>E9+E26+E29</f>
        <v>13521</v>
      </c>
      <c r="F30" s="398">
        <f>F9+F26+F29</f>
        <v>1552</v>
      </c>
      <c r="G30" s="399">
        <f t="shared" si="0"/>
        <v>0.1147844094371718</v>
      </c>
    </row>
  </sheetData>
  <sheetProtection/>
  <mergeCells count="16">
    <mergeCell ref="B13:C13"/>
    <mergeCell ref="B15:C15"/>
    <mergeCell ref="B26:C26"/>
    <mergeCell ref="B30:C30"/>
    <mergeCell ref="B10:G10"/>
    <mergeCell ref="B17:C17"/>
    <mergeCell ref="B19:C19"/>
    <mergeCell ref="B21:C21"/>
    <mergeCell ref="B23:C23"/>
    <mergeCell ref="B27:G27"/>
    <mergeCell ref="A1:F1"/>
    <mergeCell ref="A2:C2"/>
    <mergeCell ref="B9:C9"/>
    <mergeCell ref="B4:G4"/>
    <mergeCell ref="B6:C6"/>
    <mergeCell ref="B8:C8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>
    <oddHeader>&amp;R8. sz. melléklet</oddHeader>
    <oddFooter>&amp;L&amp;D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E37"/>
  <sheetViews>
    <sheetView tabSelected="1" view="pageBreakPreview" zoomScale="60" zoomScalePageLayoutView="0" workbookViewId="0" topLeftCell="A1">
      <selection activeCell="M14" sqref="M14:M15"/>
    </sheetView>
  </sheetViews>
  <sheetFormatPr defaultColWidth="9.140625" defaultRowHeight="15"/>
  <cols>
    <col min="1" max="1" width="52.8515625" style="0" bestFit="1" customWidth="1"/>
    <col min="2" max="2" width="8.8515625" style="0" bestFit="1" customWidth="1"/>
    <col min="3" max="3" width="19.00390625" style="0" bestFit="1" customWidth="1"/>
    <col min="4" max="4" width="21.57421875" style="0" bestFit="1" customWidth="1"/>
    <col min="5" max="5" width="21.140625" style="0" bestFit="1" customWidth="1"/>
  </cols>
  <sheetData>
    <row r="1" spans="1:5" ht="33.75" customHeight="1">
      <c r="A1" s="656" t="s">
        <v>484</v>
      </c>
      <c r="B1" s="656"/>
      <c r="C1" s="656"/>
      <c r="D1" s="656"/>
      <c r="E1" s="540"/>
    </row>
    <row r="2" spans="1:5" ht="15">
      <c r="A2" s="657" t="s">
        <v>420</v>
      </c>
      <c r="B2" s="657"/>
      <c r="C2" s="657"/>
      <c r="D2" s="657"/>
      <c r="E2" s="541"/>
    </row>
    <row r="3" spans="1:5" ht="15">
      <c r="A3" s="541"/>
      <c r="B3" s="541"/>
      <c r="C3" s="542"/>
      <c r="D3" s="543"/>
      <c r="E3" s="541"/>
    </row>
    <row r="4" spans="1:5" ht="15">
      <c r="A4" s="658" t="s">
        <v>59</v>
      </c>
      <c r="B4" s="659" t="s">
        <v>421</v>
      </c>
      <c r="C4" s="653" t="s">
        <v>422</v>
      </c>
      <c r="D4" s="653" t="s">
        <v>423</v>
      </c>
      <c r="E4" s="653" t="s">
        <v>261</v>
      </c>
    </row>
    <row r="5" spans="1:5" ht="15">
      <c r="A5" s="658"/>
      <c r="B5" s="659"/>
      <c r="C5" s="654"/>
      <c r="D5" s="654"/>
      <c r="E5" s="654"/>
    </row>
    <row r="6" spans="1:5" ht="15">
      <c r="A6" s="658"/>
      <c r="B6" s="659"/>
      <c r="C6" s="655"/>
      <c r="D6" s="655"/>
      <c r="E6" s="655"/>
    </row>
    <row r="7" spans="1:5" ht="15">
      <c r="A7" s="544">
        <v>1</v>
      </c>
      <c r="B7" s="544">
        <v>2</v>
      </c>
      <c r="C7" s="545"/>
      <c r="D7" s="546"/>
      <c r="E7" s="545"/>
    </row>
    <row r="8" spans="1:5" ht="15">
      <c r="A8" s="547" t="s">
        <v>424</v>
      </c>
      <c r="B8" s="548" t="s">
        <v>425</v>
      </c>
      <c r="C8" s="545"/>
      <c r="D8" s="546"/>
      <c r="E8" s="545"/>
    </row>
    <row r="9" spans="1:5" ht="15">
      <c r="A9" s="547" t="s">
        <v>426</v>
      </c>
      <c r="B9" s="548" t="s">
        <v>427</v>
      </c>
      <c r="C9" s="545"/>
      <c r="D9" s="546"/>
      <c r="E9" s="545"/>
    </row>
    <row r="10" spans="1:5" ht="15">
      <c r="A10" s="547" t="s">
        <v>428</v>
      </c>
      <c r="B10" s="548" t="s">
        <v>429</v>
      </c>
      <c r="C10" s="545"/>
      <c r="D10" s="546"/>
      <c r="E10" s="545"/>
    </row>
    <row r="11" spans="1:5" ht="15">
      <c r="A11" s="550" t="s">
        <v>430</v>
      </c>
      <c r="B11" s="551" t="s">
        <v>431</v>
      </c>
      <c r="C11" s="545"/>
      <c r="D11" s="546"/>
      <c r="E11" s="545"/>
    </row>
    <row r="12" spans="1:5" ht="15">
      <c r="A12" s="547" t="s">
        <v>432</v>
      </c>
      <c r="B12" s="548" t="s">
        <v>433</v>
      </c>
      <c r="C12" s="545"/>
      <c r="D12" s="546"/>
      <c r="E12" s="545"/>
    </row>
    <row r="13" spans="1:5" ht="15">
      <c r="A13" s="547" t="s">
        <v>434</v>
      </c>
      <c r="B13" s="548" t="s">
        <v>435</v>
      </c>
      <c r="C13" s="546">
        <v>295</v>
      </c>
      <c r="D13" s="546">
        <v>295</v>
      </c>
      <c r="E13" s="546">
        <v>109</v>
      </c>
    </row>
    <row r="14" spans="1:5" ht="15">
      <c r="A14" s="547" t="s">
        <v>436</v>
      </c>
      <c r="B14" s="548" t="s">
        <v>437</v>
      </c>
      <c r="C14" s="545"/>
      <c r="D14" s="552"/>
      <c r="E14" s="545"/>
    </row>
    <row r="15" spans="1:5" ht="15">
      <c r="A15" s="550" t="s">
        <v>438</v>
      </c>
      <c r="B15" s="551" t="s">
        <v>439</v>
      </c>
      <c r="C15" s="546">
        <v>295</v>
      </c>
      <c r="D15" s="553">
        <v>295</v>
      </c>
      <c r="E15" s="546">
        <v>109</v>
      </c>
    </row>
    <row r="16" spans="1:5" ht="15">
      <c r="A16" s="547" t="s">
        <v>440</v>
      </c>
      <c r="B16" s="548" t="s">
        <v>441</v>
      </c>
      <c r="C16" s="545"/>
      <c r="D16" s="552"/>
      <c r="E16" s="545"/>
    </row>
    <row r="17" spans="1:5" ht="15">
      <c r="A17" s="547" t="s">
        <v>442</v>
      </c>
      <c r="B17" s="548" t="s">
        <v>443</v>
      </c>
      <c r="C17" s="546">
        <v>4</v>
      </c>
      <c r="D17" s="553">
        <v>4</v>
      </c>
      <c r="E17" s="546">
        <v>4</v>
      </c>
    </row>
    <row r="18" spans="1:5" ht="15">
      <c r="A18" s="547" t="s">
        <v>444</v>
      </c>
      <c r="B18" s="548" t="s">
        <v>445</v>
      </c>
      <c r="C18" s="545"/>
      <c r="D18" s="552"/>
      <c r="E18" s="545"/>
    </row>
    <row r="19" spans="1:5" ht="15">
      <c r="A19" s="547" t="s">
        <v>446</v>
      </c>
      <c r="B19" s="548" t="s">
        <v>447</v>
      </c>
      <c r="C19" s="545"/>
      <c r="D19" s="552"/>
      <c r="E19" s="545"/>
    </row>
    <row r="20" spans="1:5" ht="15">
      <c r="A20" s="547" t="s">
        <v>448</v>
      </c>
      <c r="B20" s="548" t="s">
        <v>449</v>
      </c>
      <c r="C20" s="545"/>
      <c r="D20" s="552"/>
      <c r="E20" s="545"/>
    </row>
    <row r="21" spans="1:5" ht="15">
      <c r="A21" s="550" t="s">
        <v>450</v>
      </c>
      <c r="B21" s="551" t="s">
        <v>451</v>
      </c>
      <c r="C21" s="546">
        <v>4</v>
      </c>
      <c r="D21" s="553">
        <v>4</v>
      </c>
      <c r="E21" s="546">
        <v>4</v>
      </c>
    </row>
    <row r="22" spans="1:5" ht="15">
      <c r="A22" s="547" t="s">
        <v>452</v>
      </c>
      <c r="B22" s="548" t="s">
        <v>453</v>
      </c>
      <c r="C22" s="545"/>
      <c r="D22" s="552"/>
      <c r="E22" s="545"/>
    </row>
    <row r="23" spans="1:5" ht="15">
      <c r="A23" s="554" t="s">
        <v>454</v>
      </c>
      <c r="B23" s="555" t="s">
        <v>455</v>
      </c>
      <c r="C23" s="549">
        <v>299</v>
      </c>
      <c r="D23" s="549">
        <v>299</v>
      </c>
      <c r="E23" s="549">
        <v>113</v>
      </c>
    </row>
    <row r="24" spans="1:5" ht="15">
      <c r="A24" s="547" t="s">
        <v>456</v>
      </c>
      <c r="B24" s="548" t="s">
        <v>457</v>
      </c>
      <c r="C24" s="545"/>
      <c r="D24" s="552"/>
      <c r="E24" s="545"/>
    </row>
    <row r="25" spans="1:5" ht="15">
      <c r="A25" s="547" t="s">
        <v>458</v>
      </c>
      <c r="B25" s="548" t="s">
        <v>459</v>
      </c>
      <c r="C25" s="545"/>
      <c r="D25" s="552"/>
      <c r="E25" s="545"/>
    </row>
    <row r="26" spans="1:5" ht="15">
      <c r="A26" s="547" t="s">
        <v>460</v>
      </c>
      <c r="B26" s="548" t="s">
        <v>461</v>
      </c>
      <c r="C26" s="545"/>
      <c r="D26" s="552"/>
      <c r="E26" s="545"/>
    </row>
    <row r="27" spans="1:5" ht="15">
      <c r="A27" s="556" t="s">
        <v>462</v>
      </c>
      <c r="B27" s="557" t="s">
        <v>463</v>
      </c>
      <c r="C27" s="558">
        <f>SUM(C23:C26)</f>
        <v>299</v>
      </c>
      <c r="D27" s="558">
        <f>SUM(D23:D26)</f>
        <v>299</v>
      </c>
      <c r="E27" s="558">
        <f>SUM(E23:E26)</f>
        <v>113</v>
      </c>
    </row>
    <row r="28" spans="1:5" ht="15">
      <c r="A28" s="547" t="s">
        <v>464</v>
      </c>
      <c r="B28" s="548" t="s">
        <v>465</v>
      </c>
      <c r="C28" s="545"/>
      <c r="D28" s="552"/>
      <c r="E28" s="545"/>
    </row>
    <row r="29" spans="1:5" ht="15">
      <c r="A29" s="547" t="s">
        <v>466</v>
      </c>
      <c r="B29" s="548" t="s">
        <v>467</v>
      </c>
      <c r="C29" s="545"/>
      <c r="D29" s="546"/>
      <c r="E29" s="546"/>
    </row>
    <row r="30" spans="1:5" ht="15">
      <c r="A30" s="547" t="s">
        <v>468</v>
      </c>
      <c r="B30" s="548" t="s">
        <v>469</v>
      </c>
      <c r="C30" s="545"/>
      <c r="D30" s="552"/>
      <c r="E30" s="545"/>
    </row>
    <row r="31" spans="1:5" ht="15">
      <c r="A31" s="547" t="s">
        <v>470</v>
      </c>
      <c r="B31" s="548" t="s">
        <v>471</v>
      </c>
      <c r="C31" s="545"/>
      <c r="D31" s="552"/>
      <c r="E31" s="545"/>
    </row>
    <row r="32" spans="1:5" ht="15">
      <c r="A32" s="547" t="s">
        <v>472</v>
      </c>
      <c r="B32" s="548" t="s">
        <v>473</v>
      </c>
      <c r="C32" s="546"/>
      <c r="D32" s="553"/>
      <c r="E32" s="546"/>
    </row>
    <row r="33" spans="1:5" ht="15">
      <c r="A33" s="547" t="s">
        <v>474</v>
      </c>
      <c r="B33" s="548" t="s">
        <v>475</v>
      </c>
      <c r="C33" s="545"/>
      <c r="D33" s="552"/>
      <c r="E33" s="545"/>
    </row>
    <row r="34" spans="1:5" ht="15">
      <c r="A34" s="547" t="s">
        <v>476</v>
      </c>
      <c r="B34" s="548" t="s">
        <v>477</v>
      </c>
      <c r="C34" s="546">
        <v>210</v>
      </c>
      <c r="D34" s="546">
        <v>210</v>
      </c>
      <c r="E34" s="546">
        <v>209</v>
      </c>
    </row>
    <row r="35" spans="1:5" ht="15">
      <c r="A35" s="547" t="s">
        <v>478</v>
      </c>
      <c r="B35" s="548" t="s">
        <v>479</v>
      </c>
      <c r="C35" s="545"/>
      <c r="D35" s="552"/>
      <c r="E35" s="545"/>
    </row>
    <row r="36" spans="1:5" ht="15">
      <c r="A36" s="547" t="s">
        <v>480</v>
      </c>
      <c r="B36" s="548" t="s">
        <v>481</v>
      </c>
      <c r="C36" s="546">
        <v>89</v>
      </c>
      <c r="D36" s="546">
        <v>89</v>
      </c>
      <c r="E36" s="546">
        <v>89</v>
      </c>
    </row>
    <row r="37" spans="1:5" ht="15">
      <c r="A37" s="556" t="s">
        <v>482</v>
      </c>
      <c r="B37" s="557" t="s">
        <v>483</v>
      </c>
      <c r="C37" s="559">
        <f>SUM(C28:C36)</f>
        <v>299</v>
      </c>
      <c r="D37" s="559">
        <f>SUM(D28:D36)</f>
        <v>299</v>
      </c>
      <c r="E37" s="559">
        <f>SUM(E28:E36)</f>
        <v>298</v>
      </c>
    </row>
  </sheetData>
  <sheetProtection/>
  <mergeCells count="7">
    <mergeCell ref="E4:E6"/>
    <mergeCell ref="A1:D1"/>
    <mergeCell ref="A2:D2"/>
    <mergeCell ref="A4:A6"/>
    <mergeCell ref="B4:B6"/>
    <mergeCell ref="C4:C6"/>
    <mergeCell ref="D4:D6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&amp;R9. sz. melléklet</oddHeader>
    <oddFooter>&amp;L&amp;D&amp;C&amp;N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jegyzono</dc:creator>
  <cp:keywords/>
  <dc:description/>
  <cp:lastModifiedBy>jegyzono</cp:lastModifiedBy>
  <cp:lastPrinted>2011-09-01T08:56:48Z</cp:lastPrinted>
  <dcterms:created xsi:type="dcterms:W3CDTF">2011-01-22T13:49:14Z</dcterms:created>
  <dcterms:modified xsi:type="dcterms:W3CDTF">2011-09-01T09:49:54Z</dcterms:modified>
  <cp:category/>
  <cp:version/>
  <cp:contentType/>
  <cp:contentStatus/>
</cp:coreProperties>
</file>